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56" windowWidth="9720" windowHeight="6525" tabRatio="850" firstSheet="3" activeTab="9"/>
  </bookViews>
  <sheets>
    <sheet name="กระดาษทำการงบทดลองเครื่อง" sheetId="1" r:id="rId1"/>
    <sheet name="Sheet1" sheetId="2" r:id="rId2"/>
    <sheet name="TB กลืนรายการปรับปรุง" sheetId="3" r:id="rId3"/>
    <sheet name="งบแสดงฐานะ" sheetId="4" r:id="rId4"/>
    <sheet name="กำไรขาดทุน" sheetId="5" r:id="rId5"/>
    <sheet name="สินเชื่อ" sheetId="6" r:id="rId6"/>
    <sheet name="จัดหา" sheetId="7" r:id="rId7"/>
    <sheet name="รวบรวมผลิตผล" sheetId="8" r:id="rId8"/>
    <sheet name="กาแฟ" sheetId="9" r:id="rId9"/>
    <sheet name="รายได้" sheetId="10" r:id="rId10"/>
    <sheet name="ค่าใช้จ่าย" sheetId="11" r:id="rId11"/>
    <sheet name="ต้นทุน 1" sheetId="12" r:id="rId12"/>
    <sheet name="ต้นทุน 2" sheetId="13" r:id="rId13"/>
    <sheet name="งบต้นทุนการผลิต" sheetId="14" r:id="rId14"/>
    <sheet name="หมายเหตุ" sheetId="15" r:id="rId15"/>
    <sheet name="ส่งเสริมการเกษตร" sheetId="16" r:id="rId16"/>
  </sheets>
  <definedNames>
    <definedName name="_xlnm.Print_Area" localSheetId="8">'กาแฟ'!$A$1:$K$20</definedName>
    <definedName name="_xlnm.Print_Area" localSheetId="4">'กำไรขาดทุน'!$A$1:$K$17</definedName>
    <definedName name="_xlnm.Print_Area" localSheetId="10">'ค่าใช้จ่าย'!$A$1:$H$50</definedName>
    <definedName name="_xlnm.Print_Area" localSheetId="13">'งบต้นทุนการผลิต'!$A$1:$H$31</definedName>
    <definedName name="_xlnm.Print_Area" localSheetId="3">'งบแสดงฐานะ'!$A$1:$L$68</definedName>
    <definedName name="_xlnm.Print_Area" localSheetId="6">'จัดหา'!$A$1:$K$48</definedName>
    <definedName name="_xlnm.Print_Area" localSheetId="11">'ต้นทุน 1'!$A$1:$H$56</definedName>
    <definedName name="_xlnm.Print_Area" localSheetId="7">'รวบรวมผลิตผล'!$A$1:$K$25</definedName>
    <definedName name="_xlnm.Print_Area" localSheetId="9">'รายได้'!$A$1:$I$21</definedName>
    <definedName name="_xlnm.Print_Area" localSheetId="15">'ส่งเสริมการเกษตร'!$A$1:$K$18</definedName>
    <definedName name="_xlnm.Print_Area" localSheetId="5">'สินเชื่อ'!$A$1:$K$25</definedName>
    <definedName name="_xlnm.Print_Area" localSheetId="14">'หมายเหตุ'!$A$1:$L$276</definedName>
    <definedName name="_xlnm.Print_Titles" localSheetId="0">'กระดาษทำการงบทดลองเครื่อง'!$4:$5</definedName>
    <definedName name="_xlnm.Print_Titles" localSheetId="10">'ค่าใช้จ่าย'!$5:$6</definedName>
    <definedName name="_xlnm.Print_Titles" localSheetId="6">'จัดหา'!$5:$6</definedName>
    <definedName name="_xlnm.Print_Titles" localSheetId="15">'ส่งเสริมการเกษตร'!$5:$6</definedName>
  </definedNames>
  <calcPr fullCalcOnLoad="1"/>
</workbook>
</file>

<file path=xl/sharedStrings.xml><?xml version="1.0" encoding="utf-8"?>
<sst xmlns="http://schemas.openxmlformats.org/spreadsheetml/2006/main" count="2362" uniqueCount="936">
  <si>
    <t>ราคาทุน</t>
  </si>
  <si>
    <t>รวม</t>
  </si>
  <si>
    <t>หมายเหตุ</t>
  </si>
  <si>
    <t>ที่ดิน</t>
  </si>
  <si>
    <t>ยานพาหนะ</t>
  </si>
  <si>
    <t>เครื่องเขียนแบบพิมพ์</t>
  </si>
  <si>
    <t>งบดุล</t>
  </si>
  <si>
    <t>สินทรัพย์</t>
  </si>
  <si>
    <t>สินทรัพย์หมุนเวียน</t>
  </si>
  <si>
    <t>บาท</t>
  </si>
  <si>
    <t>เงินสดและเงินฝากธนาคาร</t>
  </si>
  <si>
    <t>ดอกเบี้ยเงินให้กู้ค้างรับ - สุทธิ</t>
  </si>
  <si>
    <t>สินค้าคงเหลือ</t>
  </si>
  <si>
    <t>สินทรัพย์หมุนเวียนอื่น</t>
  </si>
  <si>
    <t>รวมสินทรัพย์หมุนเวียน</t>
  </si>
  <si>
    <t>เงินลงทุนระยะยาว</t>
  </si>
  <si>
    <t>ที่ดิน อาคารและอุปกรณ์ - สุทธิ</t>
  </si>
  <si>
    <t>รวมสินทรัพย์</t>
  </si>
  <si>
    <t>หนี้สินและทุนของสหกรณ์</t>
  </si>
  <si>
    <t>หนี้สินหมุนเวียน</t>
  </si>
  <si>
    <t>เงินรับฝาก</t>
  </si>
  <si>
    <t>หนี้สินหมุนเวียนอื่น</t>
  </si>
  <si>
    <t>รวมหนี้สินหมุนเวียน</t>
  </si>
  <si>
    <t>รวมหนี้สิน</t>
  </si>
  <si>
    <t>ทุนของสหกรณ์</t>
  </si>
  <si>
    <t>ทุนเรือนหุ้น  (มูลค่าหุ้นละ  10.00  บาท)</t>
  </si>
  <si>
    <t>ทุนสำรอง</t>
  </si>
  <si>
    <t>ทุนสะสมตามข้อบังคับ ระเบียบและอื่น ๆ</t>
  </si>
  <si>
    <t>รวมทุนของสหกรณ์</t>
  </si>
  <si>
    <t>รวมหนี้สินและทุนของสหกรณ์</t>
  </si>
  <si>
    <t>หมายเหตุประกอบงบการเงินเป็นส่วนหนึ่งของงบการเงินนี้</t>
  </si>
  <si>
    <t>งบกำไรขาดทุน</t>
  </si>
  <si>
    <t>%</t>
  </si>
  <si>
    <t>ขาย/บริการ</t>
  </si>
  <si>
    <t>กำไรขั้นต้น</t>
  </si>
  <si>
    <t>รวมรายได้เฉพาะธุรกิจ</t>
  </si>
  <si>
    <t>รวมค่าใช้จ่ายเฉพาะธุรกิจ</t>
  </si>
  <si>
    <t>กำไรเฉพาะธุรกิจ</t>
  </si>
  <si>
    <t>ขายปุ๋ย</t>
  </si>
  <si>
    <t>รายละเอียดรายได้อื่น</t>
  </si>
  <si>
    <t>ค่าธรรมเนียมแรกเข้า</t>
  </si>
  <si>
    <t>รายได้เบ็ดเตล็ด</t>
  </si>
  <si>
    <t>ค่าใช้จ่ายวันประชุมใหญ่</t>
  </si>
  <si>
    <t>ค่าเครื่องเขียนแบบพิมพ์</t>
  </si>
  <si>
    <t>ธุรกิจสินเชื่อ</t>
  </si>
  <si>
    <t>ธุรกิจจัดหาสินค้ามาจำหน่าย</t>
  </si>
  <si>
    <t>สินค้าคงเหลือต้นปี</t>
  </si>
  <si>
    <t>ต้นทุนขาย</t>
  </si>
  <si>
    <t>รวมต้นทุนขาย/บริการ</t>
  </si>
  <si>
    <t>หมายเหตุประกอบงบการเงิน</t>
  </si>
  <si>
    <t>เงินสด</t>
  </si>
  <si>
    <t>เงินฝากธนาคาร</t>
  </si>
  <si>
    <t>ออมทรัพย์</t>
  </si>
  <si>
    <t>ลูกหนี้การค้า</t>
  </si>
  <si>
    <t>ลูกหนี้อื่น ๆ</t>
  </si>
  <si>
    <t>รวมลูกหนี้</t>
  </si>
  <si>
    <t>ดอกเบี้ยเงินให้กู้ค้างรับ</t>
  </si>
  <si>
    <t>หุ้นบริษัทสหประกันชีวิต  จำกัด</t>
  </si>
  <si>
    <t>เงินรับฝากออมทรัพย์</t>
  </si>
  <si>
    <t>เงินลงทุนที่ไม่อยู่ในความต้องการของตลาด</t>
  </si>
  <si>
    <t>สำรองบำเหน็จเจ้าหน้าที่</t>
  </si>
  <si>
    <t>ค่าเบี้ยประชุมกรรมการ</t>
  </si>
  <si>
    <t>ค่ารับรอง</t>
  </si>
  <si>
    <t>ค่าปรับเงินให้กู้ค้างรับ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</si>
  <si>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</si>
  <si>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</si>
  <si>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</si>
  <si>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หนี้สินไม่หมุนเวียนอื่น</t>
  </si>
  <si>
    <t>รวมหนี้สินไม่หมุนเวียน</t>
  </si>
  <si>
    <t>ขายสินค้าประเภทการเกษตร</t>
  </si>
  <si>
    <t>ขายสินค้าอื่นๆ</t>
  </si>
  <si>
    <t>ประเภทการเกษตร</t>
  </si>
  <si>
    <t>สินค้าทั่วไป</t>
  </si>
  <si>
    <t>ลูกหนี้เงินกู้ระยะสั้น</t>
  </si>
  <si>
    <t>ลูกหนี้เงินกู้ระยะปานกลาง</t>
  </si>
  <si>
    <t>บวก</t>
  </si>
  <si>
    <t>ค่าใช้จ่ายเฉพาะธุรกิจ</t>
  </si>
  <si>
    <t>หัก</t>
  </si>
  <si>
    <t>สินค้าคงเหลือสิ้นปี</t>
  </si>
  <si>
    <t>ระยะสั้น</t>
  </si>
  <si>
    <t xml:space="preserve">                              </t>
  </si>
  <si>
    <t>รวมเงินลงทุนระยะยาว</t>
  </si>
  <si>
    <t>ลูกหนี้ - สุทธิ</t>
  </si>
  <si>
    <t>เจ้าหนี้การค้า</t>
  </si>
  <si>
    <t>ดอกเบี้ยเงินฝากธนาคาร</t>
  </si>
  <si>
    <t>รายได้เฉพาะธุรกิจ</t>
  </si>
  <si>
    <t>-</t>
  </si>
  <si>
    <t>สหกรณ์บันทึกบัญชีโดยใช้เกณฑ์คงค้าง</t>
  </si>
  <si>
    <t>ราคาทุนตามวิธีเข้าก่อนออกก่อน</t>
  </si>
  <si>
    <t>ค่าใช้จ่ายรอการตัดบัญชี  ตัดจ่ายเป็นรายปี  ระยะเวลา  5  ปี</t>
  </si>
  <si>
    <t>ค่าซ่อมบำรุง ค่าซ่อมแซม รวมทั้งการซื้อมาเปลี่ยนแทนสำหรับทรัพย์สินรายการย่อย ๆ ถือเป็นค่าใช้จ่าย</t>
  </si>
  <si>
    <t xml:space="preserve">เงินลงทุนระยะยาวที่เป็นเงินลงทุนในหลักทรัพย์ที่ไม่อยู่ในความต้องการของตลาดแสดงด้วยราคาทุน  </t>
  </si>
  <si>
    <t>สหกรณ์ตีราคาสินค้าคงเหลือตามราคาทุนหรือมูลค่าสุทธิที่จะได้รับแล้วแต่ราคาใดจะต่ำกว่า  โดยคำนวณ</t>
  </si>
  <si>
    <t>ซื้อปุ๋ย</t>
  </si>
  <si>
    <t>กระดาษทำการ</t>
  </si>
  <si>
    <t>อาคารและสิ่งปลูกสร้าง</t>
  </si>
  <si>
    <t>หุ้นที่ชำระเต็มมูลค่าแล้ว</t>
  </si>
  <si>
    <t>ดอกเบี้ยรับจากเงินให้กู้</t>
  </si>
  <si>
    <t>ดอกเบี้ยจ่าย</t>
  </si>
  <si>
    <t>สภาพปกติ</t>
  </si>
  <si>
    <t>งบต้นทุนขาย/บริการ</t>
  </si>
  <si>
    <t>ดอกเบี้ยจ่ายเงินรับฝาก</t>
  </si>
  <si>
    <t xml:space="preserve"> - 2 - </t>
  </si>
  <si>
    <t>หักจากรายได้  การต่อเติมหรือเพิ่มเติมอาคารและอุปกรณ์รายใหญ่ ๆ  ถือเป็นราคาทุนของสินทรัพย์</t>
  </si>
  <si>
    <t>ระยะยาว</t>
  </si>
  <si>
    <t>รายละเอียดกำไร (ขาดทุน) เฉพาะธุรกิจสินเชื่อ</t>
  </si>
  <si>
    <t>รายละเอียดกำไร (ขาดทุน) เฉพาะธุรกิจจัดหาสินค้ามาจำหน่าย</t>
  </si>
  <si>
    <t xml:space="preserve">   รวม</t>
  </si>
  <si>
    <t xml:space="preserve">   รวมรายได้เฉพาะธุรกิจ</t>
  </si>
  <si>
    <t>รายละเอียดค่าใช้จ่ายในการดำเนินงาน</t>
  </si>
  <si>
    <t>บำเหน็จเจ้าหน้าที่</t>
  </si>
  <si>
    <t>เงินสมทบจ่ายกองทุนประกันสังคม</t>
  </si>
  <si>
    <t>เงินบริจาค</t>
  </si>
  <si>
    <t>ค่าของใช้สำนักงาน</t>
  </si>
  <si>
    <t>หุ้นธนาคารเพื่อการเกษตรและสหกรณ์การเกษตร</t>
  </si>
  <si>
    <t>ค่าเบี้ยประกันภัยจ่ายล่วงหน้า</t>
  </si>
  <si>
    <t>ทุนสาธารณะประโยชน์</t>
  </si>
  <si>
    <t xml:space="preserve">ลูกหนี้ระยะสั้น - สุทธิ </t>
  </si>
  <si>
    <t xml:space="preserve">เงินกู้ยืมระยะสั้น </t>
  </si>
  <si>
    <t xml:space="preserve">เงินให้กู้ยืมระยะสั้น - สุทธิ </t>
  </si>
  <si>
    <t>ขายน้ำมันหล่อลื่น</t>
  </si>
  <si>
    <t>ซื้อน้ำมันหล่อลื่น</t>
  </si>
  <si>
    <t>ค่าตอบแทนผู้ตรวจสอบกิจการ</t>
  </si>
  <si>
    <t>ค่าเสื่อมราคาอาคารและอุปกรณ์</t>
  </si>
  <si>
    <t>สหกรณ์ตีราคาวัสดุคงเหลือ/ ของใช้สิ้นเปลืองตามราคาทุน</t>
  </si>
  <si>
    <t>เงินให้กู้ยืม - สุทธิ</t>
  </si>
  <si>
    <t>ดอกเบี้ยตามคำพิพากษาค้างรับ</t>
  </si>
  <si>
    <t>ดอกเบี้ยตามคำพิพากษาค้างรับ - สุทธิ</t>
  </si>
  <si>
    <t>เงินปันผลตามหุ้นค้างจ่าย</t>
  </si>
  <si>
    <t>เงินรอจ่ายคืน</t>
  </si>
  <si>
    <t xml:space="preserve"> - 2 -</t>
  </si>
  <si>
    <t xml:space="preserve"> - 3 -</t>
  </si>
  <si>
    <t>สหกรณ์นิคมคีรีมาศ  จำกัด</t>
  </si>
  <si>
    <t>ประจำ</t>
  </si>
  <si>
    <t>ข้อผูกพัน</t>
  </si>
  <si>
    <t>เงินฝากธนาคารเพื่อการเกษตรและสหกรณ์การเกษตร ประเภทฝากประจำ บัญชีเลขที่  509 - 4 - 06079 - 4</t>
  </si>
  <si>
    <t>จังหวัดสุโขทัย  ในวงเงิน  84,000.00  บาท</t>
  </si>
  <si>
    <t>เงินฝากสหกรณ์นิคมหนองบัวพัฒนา  จำกัด</t>
  </si>
  <si>
    <t>ลูกหนี้เงินกู้ระยะยาว</t>
  </si>
  <si>
    <t>ค่าปรับเงินให้กู้ค้างรับ - สุทธิ</t>
  </si>
  <si>
    <t>ภาษีมูลค่าเพิ่ม</t>
  </si>
  <si>
    <t>เครื่องใช้สำนักงานและอุปกรณ์</t>
  </si>
  <si>
    <t>สหกรณ์สร้างปั๊มน้ำมันบนที่ดินของสหกรณ์เอง  มีเนื้อที่จำนวน  18 ไร่ 1 งาน 28 ตารางวา  เลขที่  117  หมู่ 7</t>
  </si>
  <si>
    <t>ตำบลโตนด  อำเภอคีรีมาศ  จังหวัดสุโขทัย</t>
  </si>
  <si>
    <t>เงินกู้ธนาคารเพื่อการเกษตรและสหกรณ์การเกษตร</t>
  </si>
  <si>
    <t>เงินกู้กรมส่งเสริมสหกรณ์</t>
  </si>
  <si>
    <t>เงินประกันสังคมค้างจ่าย</t>
  </si>
  <si>
    <t>เงินเฉลี่ยคืนค้างจ่าย</t>
  </si>
  <si>
    <t>ลูกหนี้บัตรเครดิต</t>
  </si>
  <si>
    <t>เงินกองทุนกลุ่มสตรี</t>
  </si>
  <si>
    <t>เงินสะสมเจ้าหน้าที่</t>
  </si>
  <si>
    <t>ค่าบำรุงสหกรณ์</t>
  </si>
  <si>
    <t>ทุนรักษาระดับอัตราเงินปันผล</t>
  </si>
  <si>
    <t>ทุนสงเคราะห์สมาชิกและครอบครัว</t>
  </si>
  <si>
    <t>ทุนสะสมเพื่อการพัฒนากิจการสหกรณ์</t>
  </si>
  <si>
    <t>ซื้อเคมีการเกษตร</t>
  </si>
  <si>
    <t>ประเภทน้ำมัน</t>
  </si>
  <si>
    <t>ซื้อน้ำมันเชื้อเพลิง</t>
  </si>
  <si>
    <t>ค่าขนส่งน้ำมันเชื้อเพลิง</t>
  </si>
  <si>
    <t>ซื้อสินค้าทั่วไป</t>
  </si>
  <si>
    <t>ขายเคมีการเกษตร</t>
  </si>
  <si>
    <t>ขายสินค้าประเภทน้ำมัน</t>
  </si>
  <si>
    <t>ขายน้ำมันเชื้อเพลิง</t>
  </si>
  <si>
    <t>ขายสินค้าอุปโภคบริโภค</t>
  </si>
  <si>
    <t xml:space="preserve"> -  ส่วนลดภาพลักษณ์</t>
  </si>
  <si>
    <t xml:space="preserve"> -  ดอกเบี้ยจ่ายเงินกู้ ธ.ก.ส.</t>
  </si>
  <si>
    <t xml:space="preserve"> -  ดอกเบี้ยจ่ายเงินกู้กรมส่งเสริมสหกรณ์</t>
  </si>
  <si>
    <t xml:space="preserve"> -  ค่าลดหย่อนน้ำมันเชื้อเพลิงสูญระเหย</t>
  </si>
  <si>
    <t xml:space="preserve"> -  ค่าเสื่อมราคายานพาหนะและอุปกรณ์</t>
  </si>
  <si>
    <t>ดอกเบี้ยเงินฝากสหกรณ์</t>
  </si>
  <si>
    <t>ผลตอบแทนจากการลงทุน</t>
  </si>
  <si>
    <t xml:space="preserve">เงินเดือน </t>
  </si>
  <si>
    <t>ค่าจ้างชั่วคราว</t>
  </si>
  <si>
    <t>ค่าเบี้ยเลี้ยงพาหนะ</t>
  </si>
  <si>
    <t>ค่าซ่อมแซมทรัพย์สิน</t>
  </si>
  <si>
    <t>ค่าวัสดุเชื้อเพลิงและหล่อลื่น</t>
  </si>
  <si>
    <t>ค่าสวัสดิการเจ้าหน้าที่และสมาชิก</t>
  </si>
  <si>
    <t>ค่าใช้จ่ายในการจัดงานและประชาสัมพันธ์สหกรณ์</t>
  </si>
  <si>
    <t>ดอกเบี้ยจ่ายเงินสะสมเจ้าหน้าที่</t>
  </si>
  <si>
    <t>ค่าวัสดุที่ใช้กับเครื่องถ่ายเอกสาร</t>
  </si>
  <si>
    <t>ค่าวัสดุที่ใช้กับคอมพิวเตอร์</t>
  </si>
  <si>
    <t>ค่าธรรมเนียม</t>
  </si>
  <si>
    <t>ค่าปฏิทินและคูปอง</t>
  </si>
  <si>
    <t>ค่าของรางวัลตามโครงการพัฒนาศักยภาพสหกรณ์</t>
  </si>
  <si>
    <t xml:space="preserve"> - รายได้ค่าปรับจากเงินให้กู้</t>
  </si>
  <si>
    <t xml:space="preserve"> - หนี้สงสัยจะสูญ - ดอกเบี้ยเงินให้กู้ค้างรับ</t>
  </si>
  <si>
    <t xml:space="preserve"> - เงินเดือนธุรกิจสินเชื่อ</t>
  </si>
  <si>
    <t>กำไรสุทธิ</t>
  </si>
  <si>
    <t>เงินฝากสหกรณ์อื่น</t>
  </si>
  <si>
    <t xml:space="preserve">เงินให้กู้ยืมระยะยาว </t>
  </si>
  <si>
    <t>กำไรสุทธิประจำปี</t>
  </si>
  <si>
    <t>กระดาษทำการงบทดลอง</t>
  </si>
  <si>
    <t>ชื่อบัญชี</t>
  </si>
  <si>
    <t>ยอดคงเหลือต้นปี</t>
  </si>
  <si>
    <t>รายการระหว่างปี</t>
  </si>
  <si>
    <t>รายการปรับปรุง</t>
  </si>
  <si>
    <t>งบต้นทุนผลิต</t>
  </si>
  <si>
    <t>งบต้นทุนขาย</t>
  </si>
  <si>
    <t>เดบิต</t>
  </si>
  <si>
    <t>เครดิต</t>
  </si>
  <si>
    <t>110110</t>
  </si>
  <si>
    <t>110212</t>
  </si>
  <si>
    <t>110213</t>
  </si>
  <si>
    <t>110216</t>
  </si>
  <si>
    <t>110217</t>
  </si>
  <si>
    <t>110222</t>
  </si>
  <si>
    <t>110281</t>
  </si>
  <si>
    <t>110270</t>
  </si>
  <si>
    <t>เงินฝากออมทรัพย์พิเศษสกน.ศรีสำโรง</t>
  </si>
  <si>
    <t>110310</t>
  </si>
  <si>
    <t>เงินส่งชำระหนี้ระหว่างทาง</t>
  </si>
  <si>
    <t>110510</t>
  </si>
  <si>
    <t>ลูกหนี้การค้า สาขา 1</t>
  </si>
  <si>
    <t>110520</t>
  </si>
  <si>
    <t>ลูกหนี้เงินกู้ระยะสั้น ธกส.</t>
  </si>
  <si>
    <t>110530</t>
  </si>
  <si>
    <t>ลูกหนี้เงินกู้ระยะสั้น สกก.</t>
  </si>
  <si>
    <t>110540</t>
  </si>
  <si>
    <t>ลูกหนี้เงินกู้ระยะปานกลาง ธกส.</t>
  </si>
  <si>
    <t>ค่าเผื่อหนี้สงสัยจะสูญ-ลูกหนี้ตามคำพิพากษา</t>
  </si>
  <si>
    <t>110550</t>
  </si>
  <si>
    <t>ลูกหนี้เงินกู้ระยะปานกลาง สกก.</t>
  </si>
  <si>
    <t>ลูกหนี้เงินกู้ระยะยาว ธกส.</t>
  </si>
  <si>
    <t>ลูกหนี้เงินยืมทดรองกองทุนฟื้นฟูอาชีพ</t>
  </si>
  <si>
    <t>ลูกหนี้เงินกู้ระยะยาว สกก.</t>
  </si>
  <si>
    <t>110574</t>
  </si>
  <si>
    <t>ลูกหนี้เงินกู้ระยะสั้น-กองทุนกลุ่มสตรี</t>
  </si>
  <si>
    <t>ลูกหนี้บริษัทบางจาก</t>
  </si>
  <si>
    <t>ลูกหนี้ตามคำพิพากษา</t>
  </si>
  <si>
    <t>110610</t>
  </si>
  <si>
    <t>110619</t>
  </si>
  <si>
    <t>110730</t>
  </si>
  <si>
    <t>110810</t>
  </si>
  <si>
    <t>110910</t>
  </si>
  <si>
    <t>110919</t>
  </si>
  <si>
    <t>110941</t>
  </si>
  <si>
    <t>110950</t>
  </si>
  <si>
    <t>ภาษีซื้อ</t>
  </si>
  <si>
    <t>110960</t>
  </si>
  <si>
    <t>ค่าเบี้ยประกันจ่ายล่วงหน้า</t>
  </si>
  <si>
    <t>120310</t>
  </si>
  <si>
    <t>120410</t>
  </si>
  <si>
    <t>120510</t>
  </si>
  <si>
    <t>ครุภัณฑ์และอุปกรณ์</t>
  </si>
  <si>
    <t>140210</t>
  </si>
  <si>
    <t>หุ้น บริษัท สหประกันชีวิต จำกัด</t>
  </si>
  <si>
    <t>140710</t>
  </si>
  <si>
    <t>หุ้น ธ.ก.ส.</t>
  </si>
  <si>
    <t>210110</t>
  </si>
  <si>
    <t>เจ้าหนี้เงินกู้ ธกส.</t>
  </si>
  <si>
    <t>เจ้าหนี้เงินกู้ กพส.(จัดหาสินค้า)</t>
  </si>
  <si>
    <t>210210</t>
  </si>
  <si>
    <t>210410</t>
  </si>
  <si>
    <t>210430</t>
  </si>
  <si>
    <t>210510</t>
  </si>
  <si>
    <t>ค่าบำรุงสันนิบาตสหกรณ์แห่งประเทศไทย</t>
  </si>
  <si>
    <t>210730</t>
  </si>
  <si>
    <t>เจ้าหนี้บริษัทบางจาก</t>
  </si>
  <si>
    <t>210750</t>
  </si>
  <si>
    <t>ภาษีขาย</t>
  </si>
  <si>
    <t>210751</t>
  </si>
  <si>
    <t>ภาษีขายธุรกิจอื่น</t>
  </si>
  <si>
    <t>210761</t>
  </si>
  <si>
    <t>210810</t>
  </si>
  <si>
    <t>240110</t>
  </si>
  <si>
    <t>240210</t>
  </si>
  <si>
    <t>240510</t>
  </si>
  <si>
    <t>310110</t>
  </si>
  <si>
    <t>ทุนเรือนหุ้น</t>
  </si>
  <si>
    <t>310210</t>
  </si>
  <si>
    <t>310310</t>
  </si>
  <si>
    <t>310610</t>
  </si>
  <si>
    <t>310712</t>
  </si>
  <si>
    <t>310713</t>
  </si>
  <si>
    <t>310714</t>
  </si>
  <si>
    <t>ทุนศึกษาอบรม</t>
  </si>
  <si>
    <t>310910</t>
  </si>
  <si>
    <t>320110</t>
  </si>
  <si>
    <t>410110</t>
  </si>
  <si>
    <t>ดอกเบี้ยรับตามคำพิพากษา</t>
  </si>
  <si>
    <t>420110</t>
  </si>
  <si>
    <t>ขายสินค้า</t>
  </si>
  <si>
    <t>ส่วนลดภาพลักษณ์</t>
  </si>
  <si>
    <t>440110</t>
  </si>
  <si>
    <t>รายได้ธุรกิจบริการ</t>
  </si>
  <si>
    <t>450110</t>
  </si>
  <si>
    <t>450120</t>
  </si>
  <si>
    <t>450130</t>
  </si>
  <si>
    <t>450140</t>
  </si>
  <si>
    <t>450150</t>
  </si>
  <si>
    <t>450160</t>
  </si>
  <si>
    <t>510110</t>
  </si>
  <si>
    <t>หนี้สงสัยจะสูญดอกเบี้ยตามคำพิพากษา</t>
  </si>
  <si>
    <t>510150</t>
  </si>
  <si>
    <t>520110</t>
  </si>
  <si>
    <t>ซื้อสินค้า</t>
  </si>
  <si>
    <t>ส่วนลดรับ</t>
  </si>
  <si>
    <t>ดอกเบี้ยจ่ายเงินกู้ กพส.</t>
  </si>
  <si>
    <t>520330</t>
  </si>
  <si>
    <t>520331</t>
  </si>
  <si>
    <t>520360</t>
  </si>
  <si>
    <t>ค่าใช้จ่ายปั้มน้ำมัน</t>
  </si>
  <si>
    <t>520362</t>
  </si>
  <si>
    <t>ค่าใช้จ่ายปั้มน้ำมัน สาขา 1</t>
  </si>
  <si>
    <t>ค่าลดหย่อนน้ำมันเชื้อเพลิงสูญระเหย สาขา 1</t>
  </si>
  <si>
    <t>ค่าใช้จ่ายตลาดกลาง</t>
  </si>
  <si>
    <t>550110</t>
  </si>
  <si>
    <t>เงินเดือน</t>
  </si>
  <si>
    <t>550120</t>
  </si>
  <si>
    <t>550121</t>
  </si>
  <si>
    <t>550130</t>
  </si>
  <si>
    <t>เบี้ยเลี้ยงประชุมกรรมการ</t>
  </si>
  <si>
    <t>550160</t>
  </si>
  <si>
    <t>550170</t>
  </si>
  <si>
    <t>550171</t>
  </si>
  <si>
    <t>550173</t>
  </si>
  <si>
    <t>550174</t>
  </si>
  <si>
    <t>ค่าน้ำ-ค่าไฟฟ้า</t>
  </si>
  <si>
    <t>550175</t>
  </si>
  <si>
    <t>550176</t>
  </si>
  <si>
    <t>ค่าใช้จ่ายในการศึกษาอบรม</t>
  </si>
  <si>
    <t>550177</t>
  </si>
  <si>
    <t>550180</t>
  </si>
  <si>
    <t>550182</t>
  </si>
  <si>
    <t>550186</t>
  </si>
  <si>
    <t>ค่าล่วงเวลา</t>
  </si>
  <si>
    <t>550190</t>
  </si>
  <si>
    <t>ค่าเบี้ยประกันภัย</t>
  </si>
  <si>
    <t>550192</t>
  </si>
  <si>
    <t>550193</t>
  </si>
  <si>
    <t>550194</t>
  </si>
  <si>
    <t>550220</t>
  </si>
  <si>
    <t>ค่าเสื่อมราคาสินทรัพย์</t>
  </si>
  <si>
    <t>550510</t>
  </si>
  <si>
    <t>550610</t>
  </si>
  <si>
    <t>550710</t>
  </si>
  <si>
    <t>ค่าใช้จ่ายรถยนต์</t>
  </si>
  <si>
    <t>ต้นทุนผลิต</t>
  </si>
  <si>
    <t xml:space="preserve">รายละเอียดประกอบงบการเงิน  1   </t>
  </si>
  <si>
    <t xml:space="preserve">รายละเอียดประกอบงบการเงิน  2   </t>
  </si>
  <si>
    <t xml:space="preserve">รายละเอียดประกอบงบการเงิน  4   </t>
  </si>
  <si>
    <t>เงินฝากสหกรณ์นิคมศรีสำโรง  จำกัด</t>
  </si>
  <si>
    <t>เงินเฉลี่ยคืนน้ำมัน</t>
  </si>
  <si>
    <t>กองทุนสวัสดิการช่วยเหลือสมาชิก</t>
  </si>
  <si>
    <t>ขายสินค้าสาขา 1</t>
  </si>
  <si>
    <t>หนี้สงสัยจะสูญลูกหนี้ตามคำพิพากษา</t>
  </si>
  <si>
    <t>เงินกองุทนสวัสดิการช่วยเหลือสมาชิก</t>
  </si>
  <si>
    <t>ลูกหนี้บัตรเครดิตเกษตรกร</t>
  </si>
  <si>
    <t>ภาษีซื้อวัตถุดิบร้านกาแฟอินทนิล</t>
  </si>
  <si>
    <t>ภาษีซื้อค่าใช้จ่ายร้านกาแฟอินทนิล</t>
  </si>
  <si>
    <t>ภาษีขายกาแฟอินทนิล</t>
  </si>
  <si>
    <t>ขายกาแฟอินทนิล</t>
  </si>
  <si>
    <t>ส่วนลดจ่ายร้านกาแฟ</t>
  </si>
  <si>
    <t>รายได้เงินกองทุนสวัสดิการช่วยเหลือสมาชิก</t>
  </si>
  <si>
    <t>รายได้ค่าเช่าที่ดิน</t>
  </si>
  <si>
    <t>ซื้อวัตถุดิบร้านกาแฟอินทนิล</t>
  </si>
  <si>
    <t>ซื้อวัตถุดิบร้านกาแฟอินทนิล ไม่มีภาษี</t>
  </si>
  <si>
    <t>ค่าธรรมเนียมบัตรเครดิต</t>
  </si>
  <si>
    <t>ค่าไฟฟ้าร้านกาแฟ</t>
  </si>
  <si>
    <t>ธุรกิจกาแฟอินทนิล</t>
  </si>
  <si>
    <t>สินค้าคงหลือต้นปี</t>
  </si>
  <si>
    <t xml:space="preserve"> -  ค่าธรรมเนียมบัตรเครดิต</t>
  </si>
  <si>
    <t>รายละเอียดกำไร (ขาดทุน) เฉพาะธุรกิจกาแฟ</t>
  </si>
  <si>
    <t>ขายกาแฟ</t>
  </si>
  <si>
    <t>ขายสินค้าทั้งสิ้น</t>
  </si>
  <si>
    <t>รวมต้นทุนขาย</t>
  </si>
  <si>
    <t>100</t>
  </si>
  <si>
    <t>ต้นทุนการผลิต</t>
  </si>
  <si>
    <t>สินค้าเสื่อมสภาพเสียหายตัดบัญชี</t>
  </si>
  <si>
    <t>-4-</t>
  </si>
  <si>
    <t xml:space="preserve">  เงินรับฝาก - สมาชิก</t>
  </si>
  <si>
    <t xml:space="preserve">  เงินรับฝาก - สหกรณ์อื่น</t>
  </si>
  <si>
    <t>รวมเงินรับฝาก</t>
  </si>
  <si>
    <t>งบต้นทุนการผลิต</t>
  </si>
  <si>
    <t>วัตถุดิบยกมาต้นปี</t>
  </si>
  <si>
    <t>ซื้อวัตถุดิบ</t>
  </si>
  <si>
    <t>วัตถุดิบคงเหลือสิ้นปี</t>
  </si>
  <si>
    <t>วัตถุดิบใช้ไปในการผลิต</t>
  </si>
  <si>
    <t>- เงินเดือน</t>
  </si>
  <si>
    <t>- ค่าไฟฟ้า</t>
  </si>
  <si>
    <t>- ค่าเสื่อมราคาสินทรัพย์และอุปกรณ์</t>
  </si>
  <si>
    <t>ค่าวัสดุคอมพิวเตอร์</t>
  </si>
  <si>
    <t>ค่าวัสดุเครื่องถ่ายเอกสาร</t>
  </si>
  <si>
    <t>ค่าของรางวัลตามโครงการพัฒนาศักยภาพ</t>
  </si>
  <si>
    <t>ค่าธรรมเนียมโอนเงิน</t>
  </si>
  <si>
    <t>ค่าเบี้ยประกันภัยทรัพย์สิน</t>
  </si>
  <si>
    <t>ค่าวัสดุน้ำมันเชื้อเพลิงและหล่อลื่น</t>
  </si>
  <si>
    <t>ผลตอบแทนการลงทุน</t>
  </si>
  <si>
    <t>รายได้ค่าธรรมเนียมจากการถอนเงินฝาก</t>
  </si>
  <si>
    <t xml:space="preserve"> -  เงินเดือนและค่าจ้างธุรกิจจัดหาฯ</t>
  </si>
  <si>
    <t xml:space="preserve"> -  ค่าเสื่อมราคาสินทรัพย์การตลาด</t>
  </si>
  <si>
    <t xml:space="preserve"> -  ค่าใช้จ่ายในการส่งเสริมการขาย</t>
  </si>
  <si>
    <t xml:space="preserve">รายละเอียดประกอบงบการเงิน  5   </t>
  </si>
  <si>
    <t xml:space="preserve"> - รายได้เงินบริจาคร้านกาแฟ</t>
  </si>
  <si>
    <t xml:space="preserve"> - ค่าใช้จ่ายในการขาย</t>
  </si>
  <si>
    <t>ค่าเทคอนกรีตถังน้ำมันรอตัดจ่าย</t>
  </si>
  <si>
    <t>ภาษีขายรายได้ถอนเงินฝาก</t>
  </si>
  <si>
    <t>ภาษีขายค่าธรรมเนียมแรกเข้า</t>
  </si>
  <si>
    <t>เงินเฉลี่ยคืนปุ๋ย</t>
  </si>
  <si>
    <t>เงินอุดหนุนเพื่อเพิ่มประสิทธิภาพระบบขายน้ำมัน</t>
  </si>
  <si>
    <t>รายได้เงินบริจาคสร้างลานตาก</t>
  </si>
  <si>
    <t>รายได้เงินบริจาคร้านกาแฟ</t>
  </si>
  <si>
    <t xml:space="preserve">และคำนวณค่าเสื่อมราคาโดยวิธีเส้นตรงในอัตราที่นายทะเบียนสหกรณ์กำหนด  </t>
  </si>
  <si>
    <t>สหกรณ์บันทึกโปรแกรมระบบขายน้ำมัน  ที่ได้รับบริจาคจากบริษัทบางจากปิโตเลียม จำกัด (มหาชน) เพื่อพัฒนาธุรกิจ</t>
  </si>
  <si>
    <t xml:space="preserve"> -  รายได้เงินบริจาคระบบPOS</t>
  </si>
  <si>
    <t>รายได้ธุรกิจสินเชื่อ</t>
  </si>
  <si>
    <t xml:space="preserve"> - รายได้ธุรกิจสินเชื่อ</t>
  </si>
  <si>
    <t>งบแสดงฐานะการเงิน</t>
  </si>
  <si>
    <t>สลากออมทรัพย์ทวีสิน</t>
  </si>
  <si>
    <t>ค่าใช้จ่ายเบ็ดเตล็ด</t>
  </si>
  <si>
    <t>ภาษีซื้อสินค้าสาขา 1</t>
  </si>
  <si>
    <t>เงินรอการตรวจสอบ</t>
  </si>
  <si>
    <t>ภาษีขายสินค้าสาขา 1</t>
  </si>
  <si>
    <t>เงินอุดหนุนโครงการส่งเสริมเครื่องจักร</t>
  </si>
  <si>
    <t>เงินชดเชยค่าใช้ประโยชน์ในอาคาร</t>
  </si>
  <si>
    <t>รายได้เงินบริจาคธุรกิจให้บริการ</t>
  </si>
  <si>
    <t xml:space="preserve"> -  เงินชดเชยค่าใช้ประโยชน์ในอาคาร</t>
  </si>
  <si>
    <t xml:space="preserve"> -  รายได้เงินบริจาคธุรกิจให้บริการ</t>
  </si>
  <si>
    <t>เงินฝากสหกรณ์วัดจันทร์  จำกัด</t>
  </si>
  <si>
    <t>เงินอุดหนุนโครงการส่งเสริมการเครื่องจักร</t>
  </si>
  <si>
    <t>สินค้าสภาพปกติ</t>
  </si>
  <si>
    <t>ค่าเทคอนกรีตรอตัดบัญชี</t>
  </si>
  <si>
    <t>สินทรัพย์ไม่หมุนเวียนอื่น</t>
  </si>
  <si>
    <t>วัสดุคงเหลือ(ร้านกาแฟ)</t>
  </si>
  <si>
    <t xml:space="preserve">  - รายได้ค่าบริการเครื่องชั่ง, ลานตาก</t>
  </si>
  <si>
    <t xml:space="preserve">รายละเอียดประกอบงบการเงิน  3   </t>
  </si>
  <si>
    <t>เจ้าหนี้เงินกู้-กพส.ตามโครงการเปลี่ยนการเกษตร</t>
  </si>
  <si>
    <t>เงินเฉลี่ยคืนดอกเบี้ยเงินกู้</t>
  </si>
  <si>
    <t>ภาษีขายค่าบริการเครื่องจักรกล</t>
  </si>
  <si>
    <t>ภาษีบำรุงอบจ.จากการค้าน้ำมัน สาขา 1</t>
  </si>
  <si>
    <t>ซื้อสินค้าอื่นร้านกาแฟ</t>
  </si>
  <si>
    <t>ค่าโทรศัพท์</t>
  </si>
  <si>
    <t>ค่าไปรษณียากร</t>
  </si>
  <si>
    <t>ค่าดูแลและเขียนโปรแกรม</t>
  </si>
  <si>
    <t>ค่ารักษาพยาบาล</t>
  </si>
  <si>
    <t>ค่าเทคอนกรีตทางเข้า-ออก รอตัดบัญชี</t>
  </si>
  <si>
    <t xml:space="preserve">  - รายได้ค่าบริการเครื่องจักรกล</t>
  </si>
  <si>
    <t xml:space="preserve"> -  ค่าวัสดุเชื้อเพลิง-เครื่องจักรกล</t>
  </si>
  <si>
    <t xml:space="preserve"> -  พื้นคอนกรีตรอตัดจ่าย(ถังน้ำมัน)</t>
  </si>
  <si>
    <t xml:space="preserve"> -  พื้นคอนกรีตรอตัดจ่าย(ทางเข้า-ออก)</t>
  </si>
  <si>
    <t>ค่าน้ำประปา-ค่าไฟฟ้า</t>
  </si>
  <si>
    <t xml:space="preserve">ค่าไปรษณีย์ </t>
  </si>
  <si>
    <t>0.00</t>
  </si>
  <si>
    <t xml:space="preserve"> -  ภาษีบำรุง อบจ.</t>
  </si>
  <si>
    <t>ปี 2561</t>
  </si>
  <si>
    <t>เงินฝากออมทรัพย์-ธกส.</t>
  </si>
  <si>
    <t>เงินฝากออมทรัพย์ ธ.กรุงไทย จำกัด</t>
  </si>
  <si>
    <t>110214</t>
  </si>
  <si>
    <t>เงินฝากออมทรัพย์-ธกส.(กองทุนฟื้นฟูอาชีพ)</t>
  </si>
  <si>
    <t>เงินฝากออมทรัพย์ ธ.ออมสิน</t>
  </si>
  <si>
    <t>เงินฝากออมทรัพย์ธ.ก.ส.(เงินกองทุนกลุ่มสตรี)</t>
  </si>
  <si>
    <t>110220</t>
  </si>
  <si>
    <t>บัตรออมทรัพย์ทวีสิน</t>
  </si>
  <si>
    <t>110221</t>
  </si>
  <si>
    <t>เงินฝากออมทรัพย์-ธ.กสิกรไทย</t>
  </si>
  <si>
    <t>เงินฝากออมทรัพย์-ธ.ก.ส.(โครงการส่งเสริมอาชีพ)</t>
  </si>
  <si>
    <t>110224</t>
  </si>
  <si>
    <t>เงินฝากออมทรัพยธ.ก.ส.(กองทุนพัฒนาสหกรณ์)</t>
  </si>
  <si>
    <t>110227</t>
  </si>
  <si>
    <t>เงินฝากออมทรัพย์-ธกส.โครงการส่งเสริมผลิตภัณฑ์์</t>
  </si>
  <si>
    <t>110231</t>
  </si>
  <si>
    <t>เงินฝากออมทรัพย์-ธกส.(เศรษฐกิจพอเพียง)</t>
  </si>
  <si>
    <t>110232</t>
  </si>
  <si>
    <t>เงินฝากออมทรัพย์ ธกส.(โครงการเกษตรอินทรีย์)</t>
  </si>
  <si>
    <t>110273</t>
  </si>
  <si>
    <t>เงินฝากออมทรัพย์พิเศษสกน.หนองบัวพัฒนา จำกัด</t>
  </si>
  <si>
    <t>110274</t>
  </si>
  <si>
    <t>เงินฝากออมทรัพย์พิเศษสกกวัดจันทร์ จำกัด</t>
  </si>
  <si>
    <t>เงินฝากประจำ - ธ.ก.ส.</t>
  </si>
  <si>
    <t>110511</t>
  </si>
  <si>
    <t>110512</t>
  </si>
  <si>
    <t>110513</t>
  </si>
  <si>
    <t>110549</t>
  </si>
  <si>
    <t>110560</t>
  </si>
  <si>
    <t>110561</t>
  </si>
  <si>
    <t>110570</t>
  </si>
  <si>
    <t>110580</t>
  </si>
  <si>
    <t>110581</t>
  </si>
  <si>
    <t>110582</t>
  </si>
  <si>
    <t>ลูกหนี้เงินยืมทดรองสาขา 1</t>
  </si>
  <si>
    <t>ค่าเผื่อหนี้สงสัยจะสูญดอกเบี้ยค้างรับ</t>
  </si>
  <si>
    <t>110710</t>
  </si>
  <si>
    <t>110711</t>
  </si>
  <si>
    <t>สินค้าคงเหลือต้นปี (ธ.จัดหาสินค้า)</t>
  </si>
  <si>
    <t>110731</t>
  </si>
  <si>
    <t>วัสดุสิ้นเปลืองร้านกาแฟ</t>
  </si>
  <si>
    <t>110811</t>
  </si>
  <si>
    <t>ภาษีมูลค่าเพิ่มสาขา1</t>
  </si>
  <si>
    <t>110813</t>
  </si>
  <si>
    <t>ภาษีมูลค่าเพิ่มกาแฟอินทนิล</t>
  </si>
  <si>
    <t>ค่าเผื่อหนี้สงสัยจะสูญค่าปรับค้างรับ</t>
  </si>
  <si>
    <t>110951</t>
  </si>
  <si>
    <t>ภาษีชื้อสาขา 1</t>
  </si>
  <si>
    <t>110953</t>
  </si>
  <si>
    <t>110954</t>
  </si>
  <si>
    <t>110956</t>
  </si>
  <si>
    <t>110957</t>
  </si>
  <si>
    <t>ภาษีซื้อวัสดุสิ้นเปลืองร้านกาแฟอินทนิล</t>
  </si>
  <si>
    <t>110972</t>
  </si>
  <si>
    <t>120210</t>
  </si>
  <si>
    <t>สิ่งปลูกสร้าง</t>
  </si>
  <si>
    <t>140312</t>
  </si>
  <si>
    <t>140313</t>
  </si>
  <si>
    <t>ค่าเทคอนกรีตทางเข้า-ออกรอตัดจ่าย</t>
  </si>
  <si>
    <t>210111</t>
  </si>
  <si>
    <t>เจ้าหนี้เงินกู้-ธ.ก.ส.(ทุนหมุนเวียนจัดหาสินค้า</t>
  </si>
  <si>
    <t>210112</t>
  </si>
  <si>
    <t>เจ้าหนี้เงินกู้ ธ.ก.ส.เพื่อเป็นทุนให้สมาชิกกู้</t>
  </si>
  <si>
    <t>210121</t>
  </si>
  <si>
    <t>210122</t>
  </si>
  <si>
    <t>เจ้าหนี้เงินกู้-รายได้นิคม</t>
  </si>
  <si>
    <t>210125</t>
  </si>
  <si>
    <t>เงินรับฝากพิเศษ</t>
  </si>
  <si>
    <t>210710</t>
  </si>
  <si>
    <t>ดอกเบี้ยจ่ายเงินกู้ กพส.ค้างจ่าย</t>
  </si>
  <si>
    <t>210731</t>
  </si>
  <si>
    <t>เงินรอจ่ายคืนเงินฝากนักเรียน</t>
  </si>
  <si>
    <t>210732</t>
  </si>
  <si>
    <t>เงินอุดหนุนเพื่อชดเชยดอกเบี้ยให้สมาชิก ภล.1</t>
  </si>
  <si>
    <t>210733</t>
  </si>
  <si>
    <t>210738</t>
  </si>
  <si>
    <t>210740</t>
  </si>
  <si>
    <t>210752</t>
  </si>
  <si>
    <t>ภาษีขายสาขา1</t>
  </si>
  <si>
    <t>210754</t>
  </si>
  <si>
    <t>210756</t>
  </si>
  <si>
    <t>210757</t>
  </si>
  <si>
    <t>210758</t>
  </si>
  <si>
    <t>ภาษีขายรายได้อื่นๆ</t>
  </si>
  <si>
    <t>210759</t>
  </si>
  <si>
    <t>ภาษีขายรายได้เงินกองทุนสวัสดิการช่วยเหลือสมาชก</t>
  </si>
  <si>
    <t>210760</t>
  </si>
  <si>
    <t>210762</t>
  </si>
  <si>
    <t>210763</t>
  </si>
  <si>
    <t>210764</t>
  </si>
  <si>
    <t>ภาษีขายสินค้าอื่นร้านกาแฟอินทนิล</t>
  </si>
  <si>
    <t>เงินปันผลตามหุ้น</t>
  </si>
  <si>
    <t>210820</t>
  </si>
  <si>
    <t>เงินเฉลี่ยคืนตามส่วนแห่งธุรกิจ</t>
  </si>
  <si>
    <t>210821</t>
  </si>
  <si>
    <t>210822</t>
  </si>
  <si>
    <t>210823</t>
  </si>
  <si>
    <t>เงินสะสมพนักงาน</t>
  </si>
  <si>
    <t>240170</t>
  </si>
  <si>
    <t>สำรองบำเหน็จพนักงาน</t>
  </si>
  <si>
    <t>240211</t>
  </si>
  <si>
    <t>ภาษีหักณที่จ่าย</t>
  </si>
  <si>
    <t>กองทุนกลุ่มสตรี</t>
  </si>
  <si>
    <t>240511</t>
  </si>
  <si>
    <t>เงินกองทุนเพื่อการฟื้นฟูอาชีพของสมาชิก</t>
  </si>
  <si>
    <t>240610</t>
  </si>
  <si>
    <t>เงินอุดหนุนเพื่อเพิ่มประสิทธิภาพด้านการตลาด</t>
  </si>
  <si>
    <t>240710</t>
  </si>
  <si>
    <t>เงินอุดหนุนเพื่อเพิ่มประสิทธิภาพร้านกาแฟ</t>
  </si>
  <si>
    <t>240810</t>
  </si>
  <si>
    <t>240910</t>
  </si>
  <si>
    <t>240911</t>
  </si>
  <si>
    <t>410120</t>
  </si>
  <si>
    <t>ค่าปรับรับจากเงินให้กู้</t>
  </si>
  <si>
    <t>410181</t>
  </si>
  <si>
    <t>420111</t>
  </si>
  <si>
    <t>ขายน้ำมันสาขา1</t>
  </si>
  <si>
    <t>420114</t>
  </si>
  <si>
    <t>420151</t>
  </si>
  <si>
    <t>420160</t>
  </si>
  <si>
    <t>420170</t>
  </si>
  <si>
    <t>รายได้เงินบริจาคระบบ POS</t>
  </si>
  <si>
    <t>430110</t>
  </si>
  <si>
    <t>430112</t>
  </si>
  <si>
    <t>ขายสินค้าอื่นร้านกาแฟอินทนิล</t>
  </si>
  <si>
    <t>430118</t>
  </si>
  <si>
    <t>430140</t>
  </si>
  <si>
    <t>430210</t>
  </si>
  <si>
    <t>ขายข้าวเปลือก</t>
  </si>
  <si>
    <t>440130</t>
  </si>
  <si>
    <t>440310</t>
  </si>
  <si>
    <t>รายได้ค่าบริการเครื่องจักรกลทางเกษตร</t>
  </si>
  <si>
    <t>ดอกเบี้ยรับจากเงินฝากธนาคาร</t>
  </si>
  <si>
    <t>รายได้อื่น ๆ</t>
  </si>
  <si>
    <t>รายได้ค่าธรรมเนียมถอนเงินฝาก</t>
  </si>
  <si>
    <t>450180</t>
  </si>
  <si>
    <t>รายได้เงินกองทุนสวัสดการช่วยเหลือสมาชิก</t>
  </si>
  <si>
    <t>450190</t>
  </si>
  <si>
    <t>450210</t>
  </si>
  <si>
    <t>450270</t>
  </si>
  <si>
    <t>รางวัลทวีสิน</t>
  </si>
  <si>
    <t>ดอกเบี้ยจ่ายเงินกู้</t>
  </si>
  <si>
    <t>510130</t>
  </si>
  <si>
    <t>หนี้สงสัยจะสูญดอกเบี้ยค้างรับ</t>
  </si>
  <si>
    <t>หนี้สงสัยจะสูญค่าปรับค้างรับ</t>
  </si>
  <si>
    <t>เงินเดือนพนักงานสินเชื่อ</t>
  </si>
  <si>
    <t>520111</t>
  </si>
  <si>
    <t>ซื้อน้ำมันสาขา1</t>
  </si>
  <si>
    <t>520112</t>
  </si>
  <si>
    <t>ซื้อสินค้า สาขา 1</t>
  </si>
  <si>
    <t>520118</t>
  </si>
  <si>
    <t>520230</t>
  </si>
  <si>
    <t>ค่าขนส่งน้ำมันเชื้อเพลิง สาขา 1</t>
  </si>
  <si>
    <t>520311</t>
  </si>
  <si>
    <t>ค่าใช้จ่ายในการส่งเสริมการขายสาขา 1</t>
  </si>
  <si>
    <t>520320</t>
  </si>
  <si>
    <t>520321</t>
  </si>
  <si>
    <t>ดอกเบี้ยจ่ายเงินกู้ ธ.ก.ส.(จัดหาสินค้า)</t>
  </si>
  <si>
    <t>เงินเดือนพนักงานการตลาด</t>
  </si>
  <si>
    <t>เงินเดือนเจ้าหน้าที่ขายน้ำมัน</t>
  </si>
  <si>
    <t>ค่าลดหย่อนน้ำมันเชื้อเพลิง-หล่อลื่นสูญระเหย</t>
  </si>
  <si>
    <t>520363</t>
  </si>
  <si>
    <t>520364</t>
  </si>
  <si>
    <t>520368</t>
  </si>
  <si>
    <t>520370</t>
  </si>
  <si>
    <t>520371</t>
  </si>
  <si>
    <t>ภาษีบำรุง อบจ.จากการค้าน้ำมัน สนญ.</t>
  </si>
  <si>
    <t>520372</t>
  </si>
  <si>
    <t>520373</t>
  </si>
  <si>
    <t>พื้นคอนกรีตรอตัดจ่าย(ถังน้ำมัน)</t>
  </si>
  <si>
    <t>520374</t>
  </si>
  <si>
    <t>พื้นคอนกรีตรอตัดจ่าย(ทางเข้า-ออก)</t>
  </si>
  <si>
    <t>520375</t>
  </si>
  <si>
    <t>ค่าเบี้ยประกันภัยปั้มน้ำมัน</t>
  </si>
  <si>
    <t>530120</t>
  </si>
  <si>
    <t>ซื้อข้าวเปลือก</t>
  </si>
  <si>
    <t>530340</t>
  </si>
  <si>
    <t>530350</t>
  </si>
  <si>
    <t>ค่าเสียหายจากสินค้าเสื่อมสภาพร้านกาแฟ</t>
  </si>
  <si>
    <t>530510</t>
  </si>
  <si>
    <t>530511</t>
  </si>
  <si>
    <t>530513</t>
  </si>
  <si>
    <t>530710</t>
  </si>
  <si>
    <t>ค่าจ้างลูกจ้างร้านกาแฟ</t>
  </si>
  <si>
    <t>530810</t>
  </si>
  <si>
    <t>ค่าใช้จ่ายร้านกาแฟอินทนิล ไม่มีภาษี</t>
  </si>
  <si>
    <t>530811</t>
  </si>
  <si>
    <t>ค่าใช้จ่ายร้านกาแฟอินทนิล</t>
  </si>
  <si>
    <t>530820</t>
  </si>
  <si>
    <t>530840</t>
  </si>
  <si>
    <t>ค่าเสื่อมราคาทรัพย์สินและอุปกรณ์</t>
  </si>
  <si>
    <t>540330</t>
  </si>
  <si>
    <t>ค่าเสื่อมราคาสินทรัยพ์</t>
  </si>
  <si>
    <t>540360</t>
  </si>
  <si>
    <t>เบี้ยเลี้ยงปฏิบัติงานกรรมการ</t>
  </si>
  <si>
    <t>เบี้ยเลี้ยงปฏิบัติงานพนักงาน</t>
  </si>
  <si>
    <t>550140</t>
  </si>
  <si>
    <t>บำเหน็จพนักงาน</t>
  </si>
  <si>
    <t>550150</t>
  </si>
  <si>
    <t>ค่าใช้จ่ายทั่วไป</t>
  </si>
  <si>
    <t>ค่าใช้จ่ายในการประชุมใหญ่</t>
  </si>
  <si>
    <t>550181</t>
  </si>
  <si>
    <t>ค่าจ้างลูกจ้างชั่วคราว</t>
  </si>
  <si>
    <t>550183</t>
  </si>
  <si>
    <t>550185</t>
  </si>
  <si>
    <t>ค่าสวัสดิการกรรมการพนักงานและสมาชิก</t>
  </si>
  <si>
    <t>เงินสมทบประกันสังคม</t>
  </si>
  <si>
    <t>550195</t>
  </si>
  <si>
    <t>550230</t>
  </si>
  <si>
    <t>ค่าคูปองและปฏิทิน</t>
  </si>
  <si>
    <t>550240</t>
  </si>
  <si>
    <t>550410</t>
  </si>
  <si>
    <t>ค่าดูแลและเขียนโปรแกรมฯ</t>
  </si>
  <si>
    <t>550520</t>
  </si>
  <si>
    <t>ดอกเบี้ยจ่ายเงินฝากนักเรียน</t>
  </si>
  <si>
    <t>550910</t>
  </si>
  <si>
    <t>เงินช่วยเหลือการศึกษาบุตร</t>
  </si>
  <si>
    <t>[รวมทั้งสิ้น]</t>
  </si>
  <si>
    <t>เงินฝากสหกรณ์อื่นข้างต้น  เป็นเงินฝากประเภทออมทรัพย์พิเศษ  ทั้งจำนวน</t>
  </si>
  <si>
    <t>ดอกเบี้ยชดเชยโครงการพักหนี้ผู้ปลูกข้าวปี 59/60</t>
  </si>
  <si>
    <t>เงินรอจ่ายคืนผู้ปลูกข้าวนาปี59/60</t>
  </si>
  <si>
    <t>ธุรกิจรวบรวมผลิตผล</t>
  </si>
  <si>
    <t xml:space="preserve"> - ดอกเบี้ยรับชดเชยจากรัฐบาลโครงการปลูกข้าวปี 59/60</t>
  </si>
  <si>
    <t>รายละเอียดกำไร (ขาดทุน) เฉพาะธุรกิจให้บริการส่งเสริมการเกษตร</t>
  </si>
  <si>
    <t xml:space="preserve"> -  ส่งคืนค่าปรับผิดสัญญาจ้าง</t>
  </si>
  <si>
    <t>รายละเอียดกำไร (ขาดทุน) เฉพาะรวบรวมผลิตผล</t>
  </si>
  <si>
    <t xml:space="preserve"> - รายได้เงินบริจาคสร้างลานตาก</t>
  </si>
  <si>
    <t>หนี้สงสัยจะสูญลูกหนี้เงินกู้</t>
  </si>
  <si>
    <t xml:space="preserve"> - หนี้สงสัยจะสูญ - ลูกหนี้เงินกู้</t>
  </si>
  <si>
    <t>110529</t>
  </si>
  <si>
    <t>ค่าเผื่อหนี้สงสัยจะสูญลูกหนี้เงินกู้</t>
  </si>
  <si>
    <t>510120</t>
  </si>
  <si>
    <t>430160</t>
  </si>
  <si>
    <t>440140</t>
  </si>
  <si>
    <t>440150</t>
  </si>
  <si>
    <t>530370</t>
  </si>
  <si>
    <t>540370</t>
  </si>
  <si>
    <t>รหัสบัญชี</t>
  </si>
  <si>
    <t>ยอดคงเหลือสิ้นปี</t>
  </si>
  <si>
    <t>รายการหลังปรับปรุง</t>
  </si>
  <si>
    <t>ค่าเสื่อมราคาสะสม</t>
  </si>
  <si>
    <t>ทุนจัดการความเสี่ยงผลผลิตทางการเกษตร</t>
  </si>
  <si>
    <t>เงินรับฝากออมทรัพย์พิเศษ</t>
  </si>
  <si>
    <t xml:space="preserve">  เงินรับฝาก - บุคคลภายนอก</t>
  </si>
  <si>
    <t>สหกรณ์ได้รับเงินอุดหนุนจากกรมส่งเสริมสหกรณ์ตามโครงการส่งเสริมการให้บริการเครื่องจักรกลทางการเกษตร</t>
  </si>
  <si>
    <t xml:space="preserve"> - ค่าเผื่อหนี้สงสัยจะสูญ - ลูกหนี้เงินกู้ระยะสั้น </t>
  </si>
  <si>
    <t xml:space="preserve">จำนวน </t>
  </si>
  <si>
    <t xml:space="preserve"> - ค่าเผื่อหนี้สงสัยจะสูญ - ลูกหนี้เงินกู้ระยะปานกลาง</t>
  </si>
  <si>
    <t xml:space="preserve"> - ค่าเผื่อหนี้สงสัยจะสูญ - ลูกหนี้เงินกู้ระยะยาว</t>
  </si>
  <si>
    <t>เสริมในปั๊มนำมัน จำนวน 500,000.00 บาทไว้ในบัญชีอาคารและสิ่งปลูกสร้าง ธุรกิจจัดหาสินค้ามาจำหน่าย</t>
  </si>
  <si>
    <t>เมื่อวันที่ 15 ธันวาคม 2558 และคำนวณค่าเสื่อมราคาโดยวิธีเส้นตรงในอัตราที่นายทะเบียนกำหนด แต่สหกรณ์ไม่ได้</t>
  </si>
  <si>
    <t xml:space="preserve"> -  ค่าใช้จ่ายเครื่องจักรกล</t>
  </si>
  <si>
    <t>สหกรณ์ได้ตั้งสำนักงาน, ปั๊มน้ำมัน, ตลาดกลางผลิตผลเกษตรประจำตำบล และฉางอยู่ภายในบริเวณที่ตั้งสำนักงานนิคมสหกรณ์</t>
  </si>
  <si>
    <t>คีรีมาศ มีเนื้อที่จำนวน 7 ไร่ 2 งาน 80 ตารางวา ตามหนังสืออนุญาตให้ใช้ที่ดินของกองสหกรณ์นิคม กรมส่งเสริมสหกรณ์</t>
  </si>
  <si>
    <t>คีรีมาศ ที่ สท 0010.6/128 ลงวันที่  11 พฤษภาคม 2550</t>
  </si>
  <si>
    <t>ที่ กษ 1108/8387 ลงวันที่ 14 กรกฎาคม 2537 และสิ่งปลูกสร้างบนที่ดินเป็นทรัพย์สินของสหกรณ์ตามหนังสือของนิคมสหกรณ์</t>
  </si>
  <si>
    <t>ค่าใช้จ่ายในการผลิต</t>
  </si>
  <si>
    <t xml:space="preserve"> - ค่าเสื่อมราคาอาคาร ยานพาหนะ และอุปกรณ์</t>
  </si>
  <si>
    <t xml:space="preserve"> - ค่าใช้จ่ายตลาดกลาง</t>
  </si>
  <si>
    <t xml:space="preserve"> - รับจริง</t>
  </si>
  <si>
    <t xml:space="preserve"> - ค้างรับ</t>
  </si>
  <si>
    <t xml:space="preserve"> - ค้างรับจากรัฐบาล</t>
  </si>
  <si>
    <t xml:space="preserve">    รวมค่าใช้จ่ายเฉพาะธุรกิจ</t>
  </si>
  <si>
    <t>96.28</t>
  </si>
  <si>
    <t>กำไร (ขาดทุน) เฉพาะธุรกิจ</t>
  </si>
  <si>
    <t>-2-</t>
  </si>
  <si>
    <t xml:space="preserve">เพื่อลดต้นทุนของสมาชิก โดยให้สหกรณ์จัดซื้อเครื่องสีข้าวโพด จำนวน 3 เครื่อง จำนวนเงิน 2,190,000.00 บาท </t>
  </si>
  <si>
    <t>ใช้ประโยชน์จากสินทรัพย์ดังกล่าวตั้งแต่วันที่ได้รับสินทรัพย์รับบริจาคมา เนื่องจากปัจจุบันสมาชิกใช้วิธีการเก็บเกี่ยว</t>
  </si>
  <si>
    <t>ข้าวโพดโดยใช้เครื่องจักรแทนแรงงานคน ซึ่งสามารถเก็บเกี่ยวออกมาเป็นเมล็ดข้าวโพดเรียบร้อยแล้ว จึงทำให้สมาชิก</t>
  </si>
  <si>
    <t xml:space="preserve">ไม่ได้ใช้บริการเครื่องสีข้าวโพดดังกล่าวของสหกรณ์ </t>
  </si>
  <si>
    <t xml:space="preserve"> -  ค่าใช้จ่ายเกี่ยวกับปั๊มน้ำมัน</t>
  </si>
  <si>
    <t xml:space="preserve"> -  ค่าเบี้ยประกันภัยปั๊มน้ำมัน</t>
  </si>
  <si>
    <t>เงินรางวัลสลากออมทรัพย์</t>
  </si>
  <si>
    <t xml:space="preserve">ค่าเสื่อมราคาอาคารและอุปกรณ์  คำนวณโดยวิธีเส้นตรงตามระเบียบนายทะเบียนสหกรณ์ ว่าด้วยการบัญชีของสหกรณ์  </t>
  </si>
  <si>
    <t>พ.ศ. 2560 ทั้งนี้ ยกเว้นที่ดิน</t>
  </si>
  <si>
    <t>เครื่องใช้สำนักงานและอุปกรณ์ - สุทธิ</t>
  </si>
  <si>
    <t>อาคารและอุปกรณ์ที่ได้มาก่อนวันที่ถือใช้ระเบียบนายทะเบียนสหกรณ์ ว่าด้วยการบัญชีของสหกรณ์ พ.ศ. 2560 สหกรณ์</t>
  </si>
  <si>
    <t xml:space="preserve">คำนวณค่าเสื่อมราคาหักบัญชีอาคารและอุปกรณ์นั้นโดยตรง สำหรับอาคารและอุปกรณ์ที่ได้มาหลังวันที่ถือใช้ระเบียบนี้ </t>
  </si>
  <si>
    <t>สหกรณ์คำนวณค่าเสื่อมราคาและแสดงไว้ในบัญชีค่าเสื่อมราคาสะสมของอาคารและอุปกรณ์นั้น</t>
  </si>
  <si>
    <t>สหกรณ์ตั้งค่าเผื่อหนี้สงสัยจะสูญไว้ในจำนวนที่เพียงพอสำหรับการขาดทุนซึ่งอาจเกิดขึ้น  โดยพิจารณาลูกหนี้แต่ละราย</t>
  </si>
  <si>
    <t xml:space="preserve">สหกรณ์ได้รับเงินอุดหนุนจากกรมส่งเสริมสหกรณ์และกองทุนปูนซีเมนต์เพื่อสร้างตลาดกลางผลิตผลเกษตรประจำตำบล </t>
  </si>
  <si>
    <t xml:space="preserve">และฉางมูลค่า 4,126,200.00 บาท  ตั้งอยู่ที่ตำบลหนองจิก  อำเภอคีรีมาศ  จังหวัดสุโขทัย  และเริ่มใช้งานเมื่อวันที่  </t>
  </si>
  <si>
    <t>21 มกราคม 2540 สหกรณ์เลือกใช้วิธีไม่บันทึกทรัพย์สินดังกล่าวไว้ในบัญชี แต่บันทึกไว้ในทะเบียนทรัพย์สินเท่านั้น</t>
  </si>
  <si>
    <r>
      <rPr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ค่าใช้จ่ายเฉพาะธุรกิจ</t>
    </r>
  </si>
  <si>
    <t xml:space="preserve">ณ  วันที่  31  มีนาคม  2562  </t>
  </si>
  <si>
    <t>ปี 2562</t>
  </si>
  <si>
    <t xml:space="preserve">สำหรับปีสิ้นสุดวันที่  31  มีนาคม  2562 </t>
  </si>
  <si>
    <t xml:space="preserve">สำหรับปีสิ้นสุดวันที่  31  มีนาคม  2562  </t>
  </si>
  <si>
    <t xml:space="preserve">ณ วันที่ 31 มีนาคม 2562 ค่าเผื่อหนี้สงสัยจะสูญข้างต้น  แยกเป็น  </t>
  </si>
  <si>
    <t>CODE</t>
  </si>
  <si>
    <t>NAME</t>
  </si>
  <si>
    <t>DR1</t>
  </si>
  <si>
    <t>CR1</t>
  </si>
  <si>
    <t>DR2</t>
  </si>
  <si>
    <t>CR2</t>
  </si>
  <si>
    <t>DR4</t>
  </si>
  <si>
    <t>CR4</t>
  </si>
  <si>
    <t>DR3</t>
  </si>
  <si>
    <t>CR3</t>
  </si>
  <si>
    <t>DR5</t>
  </si>
  <si>
    <t>CR5</t>
  </si>
  <si>
    <t>DR6</t>
  </si>
  <si>
    <t>CR6</t>
  </si>
  <si>
    <t>DR7</t>
  </si>
  <si>
    <t>CR7</t>
  </si>
  <si>
    <t>DR8</t>
  </si>
  <si>
    <t>CR8</t>
  </si>
  <si>
    <t>DR9</t>
  </si>
  <si>
    <t>CR9</t>
  </si>
  <si>
    <t>110233</t>
  </si>
  <si>
    <t>เงินฝากออมทรัพย์ ธกส.(เกษตรอินทรีย์เกษตรกรในพ่</t>
  </si>
  <si>
    <t>110234</t>
  </si>
  <si>
    <t>เงินฝากออมทรัพย์ ธกส.(เงินอุดหนุนเกษตรกร)</t>
  </si>
  <si>
    <t>110235</t>
  </si>
  <si>
    <t>เงินฝากออมทรัพย์-ธกส.โครงการพัฒนาตลาดสินค้าเกษ</t>
  </si>
  <si>
    <t>110311</t>
  </si>
  <si>
    <t>เงินส่งชำระระหว่างทางร้านกาแฟและอื่นๆ</t>
  </si>
  <si>
    <t>110584</t>
  </si>
  <si>
    <t>ลูกหนี้บริษัทบางจาก(ส่วนลดเดลินิวส์)</t>
  </si>
  <si>
    <t>110942</t>
  </si>
  <si>
    <t>ค่าเผื่อหนี้สงสัยจะสูญดอกเบี้ยตามคำพิพากษาค้าบ</t>
  </si>
  <si>
    <t>110952</t>
  </si>
  <si>
    <t>ภาษีซื้อค่าใช้จ่ายในการส่งเสริมการขายสาขา1</t>
  </si>
  <si>
    <t>110958</t>
  </si>
  <si>
    <t>ภาษีซื้อค่าใช้จ่ายปั๊มน้ำมัน สาขา 1</t>
  </si>
  <si>
    <t>110961</t>
  </si>
  <si>
    <t>ภาษีซื้อค่าก่อสร้างปรับปรุงอาคารน้ำมันสาขา 1</t>
  </si>
  <si>
    <t>110962</t>
  </si>
  <si>
    <t>ภาษีซื้อค่าใช้จ่ายปั๊มน้ำมัน</t>
  </si>
  <si>
    <t>110964</t>
  </si>
  <si>
    <t>ภาษีซื้อครุภัณฑ์และอุปกรณ์</t>
  </si>
  <si>
    <t>ดอกเบี้ยชดเชยโครงการพักหนี้ผู้ปลูกข้าวปี59/60</t>
  </si>
  <si>
    <t>110989</t>
  </si>
  <si>
    <t>120311</t>
  </si>
  <si>
    <t>สิ่งปลูกสร้างสะสม</t>
  </si>
  <si>
    <t>120511</t>
  </si>
  <si>
    <t>ครุภัณฑ์และอุปกรณ์สะสม</t>
  </si>
  <si>
    <t>140314</t>
  </si>
  <si>
    <t>ค่าปรับปรุงทางเข้า- ออก สาขา 1 รอตัดจ่าย</t>
  </si>
  <si>
    <t>210123</t>
  </si>
  <si>
    <t>เจ้าหนี้เงินกู้-กพส.โครงการรวบรวมผลิตผล</t>
  </si>
  <si>
    <t>เงินรอจ่ายคืนเงินฝากบุคคลภายนอก</t>
  </si>
  <si>
    <t>เงินรอจ่ายคืนดอกเบี้ยชดเชยโครงการพักหนผู้ปลูกา</t>
  </si>
  <si>
    <t>210741</t>
  </si>
  <si>
    <t>เจ้าหนี้บริษัทบางจาก(ร้านกาแฟอินทนิล)</t>
  </si>
  <si>
    <t>210742</t>
  </si>
  <si>
    <t>เจ้าหนี้ลูกค้าน้ำมัน</t>
  </si>
  <si>
    <t>210811</t>
  </si>
  <si>
    <t>โบนัส</t>
  </si>
  <si>
    <t>เงินอุดหนุนโครงการเกษตรอินทรีย์</t>
  </si>
  <si>
    <t>240912</t>
  </si>
  <si>
    <t>เงินอุดหนุนโครงการอุดหนุนเกษตรกร</t>
  </si>
  <si>
    <t>310715</t>
  </si>
  <si>
    <t>410130</t>
  </si>
  <si>
    <t>410150</t>
  </si>
  <si>
    <t>รายได้ค่าบริการเครื่องจักรกลการเกษตร</t>
  </si>
  <si>
    <t>450271</t>
  </si>
  <si>
    <t>ดอกเบี้ยรับบัตรทวีสิน</t>
  </si>
  <si>
    <t>510132</t>
  </si>
  <si>
    <t>510140</t>
  </si>
  <si>
    <t>ค่าใช้จ่ายในการดำเนินคดี</t>
  </si>
  <si>
    <t>520313</t>
  </si>
  <si>
    <t>ค่าเสียหายจากสินค้าเสื่อมสภาพ</t>
  </si>
  <si>
    <t>520376</t>
  </si>
  <si>
    <t>ปรับปรุงทางเข้า-ออก ปั้มน้ำมันสาขา 1</t>
  </si>
  <si>
    <t>ค่าวัสดุเชื้อเพลิง-เครื่องจักรกล</t>
  </si>
  <si>
    <t>550196</t>
  </si>
  <si>
    <t>ค่าตอบแทนนักศึกษาฝึกงาน</t>
  </si>
  <si>
    <t>550197</t>
  </si>
  <si>
    <t>ค่าใช้จ่ายระหว่างก่อสร้างโรงเก็บของ</t>
  </si>
  <si>
    <t>550198</t>
  </si>
  <si>
    <t>550200</t>
  </si>
  <si>
    <t>ค่าใช้จ่ายลูกหนี้ตามคำพิพากษา</t>
  </si>
  <si>
    <t>ในรอบปีบัญชี 31 มีนาคม 2562 ธุรกิจจัดหาสินค้ามาจำหน่ายสหกรณ์มีมติที่ประชุมคณะกรรมการดำเนินการพิจารณาอนุมัติ</t>
  </si>
  <si>
    <t xml:space="preserve"> - หนี้สงสัยจะสูญค่าปรับค้างรับ</t>
  </si>
  <si>
    <t xml:space="preserve"> - ค่าใช้จ่ายในการดำเนินคดี</t>
  </si>
  <si>
    <t xml:space="preserve"> -  ปรับปรุงทางทางเข้า-ออก ปั้มน้ำมันสาขา 1</t>
  </si>
  <si>
    <t xml:space="preserve"> -  ค่าเสียหายจากสินค้าเสื่อมสภาพ</t>
  </si>
  <si>
    <t xml:space="preserve"> - ดอกเบี้ยจ่ายเงินกู้ กพส.</t>
  </si>
  <si>
    <t>23.41</t>
  </si>
  <si>
    <t>2.39</t>
  </si>
  <si>
    <t>0.05</t>
  </si>
  <si>
    <t>2.44</t>
  </si>
  <si>
    <t>97.35</t>
  </si>
  <si>
    <t>0.20</t>
  </si>
  <si>
    <t>97.55</t>
  </si>
  <si>
    <t>94.02</t>
  </si>
  <si>
    <t>3.53</t>
  </si>
  <si>
    <t>0.01</t>
  </si>
  <si>
    <t xml:space="preserve">ให้ตัดค่าลดหย่อนน้ำมันเชื้อเพลิงสูญระเหย จำนวน 2,338.05 ลิตร เป็นเงินตามราคาขาย จำนวน 65,739.79 บาท  </t>
  </si>
  <si>
    <t>จำนวนเงิน  101,458.31  บาท  สหกรณ์ได้นำไปค้ำประกันมิเตอร์ไฟฟ้า  สำนักงานการไฟฟ้าส่วนภูมิภาค  อำเภอคีรีมาศ</t>
  </si>
  <si>
    <t>ลูกหนีบริษัทบางจาก(ร้านกาแฟ)</t>
  </si>
  <si>
    <t>ค่าวัสดุใช้ไปร้านกาแฟ</t>
  </si>
  <si>
    <t>สำหรับปีสิ้นสุดวันที่  31  มีนาคม  2562</t>
  </si>
  <si>
    <t>หนี้สงสัยจะสูญ-ดอกเบี้ยตามคำพิพากษาค้างรับ</t>
  </si>
  <si>
    <t>หนี้สงสัยจะสูญดอกเบี้ยตามคำพิพากษาค้างรับ</t>
  </si>
  <si>
    <t>ลูกหนี้บริษัทบางจาก (ร้านกาแฟ)</t>
  </si>
  <si>
    <t xml:space="preserve">ณ  วันที่  31  มีนาคม  2562  ค่าเผื่อหนี้สงสัยจะสูญข้างต้น เป็นค่าเผื่อหนี้สงสัยจะสูญ - ลูกหนี้ตามคำพิพากษาทั้งจำนวน </t>
  </si>
  <si>
    <t xml:space="preserve"> - รายได้ค่าบริการเครื่องชั่ง-ลานตาก</t>
  </si>
  <si>
    <t xml:space="preserve"> - รายได้ค่าบริการเครื่องจักรกล</t>
  </si>
  <si>
    <t xml:space="preserve"> - ค่าวัสดุเชื้อเพลิง-เครื่องจักรกล</t>
  </si>
  <si>
    <t xml:space="preserve"> - ค่าใช้จ่ายเครื่องจักรกล</t>
  </si>
  <si>
    <t xml:space="preserve"> - ส่งคืนค่าปรับผิดสัญญาจ้าง</t>
  </si>
  <si>
    <t>เงินรอจ่ายคืนดอกเบี้ยชดเชยโครงการพักหนี้</t>
  </si>
  <si>
    <t>2.37</t>
  </si>
  <si>
    <t>0.07</t>
  </si>
  <si>
    <t>96.40</t>
  </si>
  <si>
    <t>3.60</t>
  </si>
  <si>
    <t>สภาพเสื่อมชำรุด</t>
  </si>
  <si>
    <t>สินค้าเสื่อมสภาพ</t>
  </si>
  <si>
    <t xml:space="preserve"> - ค่าใช้จ่ายร้านกาแฟ</t>
  </si>
  <si>
    <t xml:space="preserve"> - ค่าใช้จ่ายร้านกาแฟไม่มีภาษี</t>
  </si>
  <si>
    <t>- ค่าใช้จ่ายร้านกาแฟ</t>
  </si>
  <si>
    <t>- ค่าใช้จ่ายร้านกาแฟไม่มีภาษี</t>
  </si>
  <si>
    <t>กำไร(ขาดทุน)เฉพาะธุรกิจ</t>
  </si>
  <si>
    <t>สินค้าคงหลือต้นปี(ธรุกิจจัดหา)</t>
  </si>
  <si>
    <t>สินค้าคงเหลือต้นปี (ธ.ร้านกาแฟ)</t>
  </si>
  <si>
    <t>สินค้าคงเหลือสิ้นปี(ธุรกิจจัดหา)</t>
  </si>
  <si>
    <t>สินค้าคงเหลือสิ้นปี(ธุรกาแฟ)</t>
  </si>
  <si>
    <t>118.46</t>
  </si>
  <si>
    <t>ณ วันที่ 31 มีนาคม 2562 ค่าเสื่อมราคาสะสม แยกเป็นค่าเสื่อมราคาสะสมสิ่งปลูกสร้าง จำนวน 52.988.82 บาท ค่าเสื่อมราคา</t>
  </si>
  <si>
    <t>เครื่องใช้สำนักงานและอุปกรณ์ จำนวน 84.823.69 บาท</t>
  </si>
  <si>
    <t xml:space="preserve"> - รายได้เงินบริจาคธุรกิจรวบรวมผลิตผล</t>
  </si>
  <si>
    <t>กำไร(ขาดทุน)ขั้นต้น</t>
  </si>
  <si>
    <t>การดำรงสินทรัพย์สภาพคล่องของสหกรณ์</t>
  </si>
  <si>
    <t>และสหกรณ์กำหนดให้สหกรณ์ต้องดำรงสินทรัพย์สภาพคล่องเฉลี่ยรายเดือนไม่ต่ำกว่า ร้อยละหนึ่งของยอดเงินรับฝากทั้งหมด</t>
  </si>
  <si>
    <t>สหกรณ์ดำรงสินทรัพย์สภาพคล่องเดือนมีนาคม 2562 ในอัตราร้อยละ 66.35 ของยอดเงินฝากทั้งหมด ซึ่งประกาศกระทรวงเกษตร</t>
  </si>
  <si>
    <t>(นายสมศักดิ์  อินทะโชติ)</t>
  </si>
  <si>
    <t>ประธานกรรมการ</t>
  </si>
  <si>
    <t>(นายถวิล  เอี่ยมทุ่ง)</t>
  </si>
  <si>
    <t>เลขานุการ</t>
  </si>
  <si>
    <t>ดอกเบี้ยเงินกู้กรมส่งเสริมฯ ค้างจ่าย</t>
  </si>
  <si>
    <t>ที่ค้างอยู่  ณ  วันสิ้นปี  หรือโดยคิดเป็นร้อยละของยอดลูกหนี้  ณ วันสิ้นปีตามอายุของหนี้ที่ค้างชำระของลูกหนี้แต่ละราย</t>
  </si>
  <si>
    <r>
      <t xml:space="preserve">1.  </t>
    </r>
    <r>
      <rPr>
        <b/>
        <u val="single"/>
        <sz val="16"/>
        <rFont val="TH SarabunPSK"/>
        <family val="2"/>
      </rPr>
      <t>สรุปนโยบายการบัญชีที่สำคัญ</t>
    </r>
  </si>
  <si>
    <r>
      <t xml:space="preserve">2.  </t>
    </r>
    <r>
      <rPr>
        <b/>
        <u val="single"/>
        <sz val="16"/>
        <rFont val="TH SarabunPSK"/>
        <family val="2"/>
      </rPr>
      <t>เงินสดและเงินฝากธนาคาร</t>
    </r>
    <r>
      <rPr>
        <sz val="16"/>
        <rFont val="TH SarabunPSK"/>
        <family val="2"/>
      </rPr>
      <t xml:space="preserve">   ประกอบด้วย</t>
    </r>
  </si>
  <si>
    <r>
      <t xml:space="preserve">3.  </t>
    </r>
    <r>
      <rPr>
        <b/>
        <u val="single"/>
        <sz val="16"/>
        <rFont val="TH SarabunPSK"/>
        <family val="2"/>
      </rPr>
      <t>เงินฝากสหกรณ์อื่น</t>
    </r>
    <r>
      <rPr>
        <sz val="16"/>
        <rFont val="TH SarabunPSK"/>
        <family val="2"/>
      </rPr>
      <t xml:space="preserve">   ประกอบด้วย</t>
    </r>
  </si>
  <si>
    <r>
      <t xml:space="preserve">4. </t>
    </r>
    <r>
      <rPr>
        <b/>
        <u val="single"/>
        <sz val="16"/>
        <rFont val="TH SarabunPSK"/>
        <family val="2"/>
      </rPr>
      <t>เงินลงทุน</t>
    </r>
    <r>
      <rPr>
        <sz val="16"/>
        <rFont val="TH SarabunPSK"/>
        <family val="2"/>
      </rPr>
      <t xml:space="preserve">  ประกอบด้วย</t>
    </r>
  </si>
  <si>
    <r>
      <t xml:space="preserve">5.  </t>
    </r>
    <r>
      <rPr>
        <b/>
        <u val="single"/>
        <sz val="16"/>
        <rFont val="TH SarabunPSK"/>
        <family val="2"/>
      </rPr>
      <t>เงินให้</t>
    </r>
    <r>
      <rPr>
        <b/>
        <sz val="16"/>
        <rFont val="TH SarabunPSK"/>
        <family val="2"/>
      </rPr>
      <t>กู้</t>
    </r>
    <r>
      <rPr>
        <b/>
        <u val="single"/>
        <sz val="16"/>
        <rFont val="TH SarabunPSK"/>
        <family val="2"/>
      </rPr>
      <t>ยืม - สุทธิ</t>
    </r>
    <r>
      <rPr>
        <sz val="16"/>
        <rFont val="TH SarabunPSK"/>
        <family val="2"/>
      </rPr>
      <t xml:space="preserve">    ประกอบด้วย</t>
    </r>
  </si>
  <si>
    <r>
      <t>หัก</t>
    </r>
    <r>
      <rPr>
        <sz val="16"/>
        <rFont val="TH SarabunPSK"/>
        <family val="2"/>
      </rPr>
      <t xml:space="preserve">  ค่าเผื่อหนี้สงสัยจะสูญ</t>
    </r>
  </si>
  <si>
    <r>
      <t xml:space="preserve">6.  </t>
    </r>
    <r>
      <rPr>
        <b/>
        <u val="single"/>
        <sz val="16"/>
        <rFont val="TH SarabunPSK"/>
        <family val="2"/>
      </rPr>
      <t>ลูกหนี้ระยะสั้น - สุทธิ</t>
    </r>
    <r>
      <rPr>
        <sz val="16"/>
        <rFont val="TH SarabunPSK"/>
        <family val="2"/>
      </rPr>
      <t xml:space="preserve">   ประกอบด้วย</t>
    </r>
  </si>
  <si>
    <r>
      <t xml:space="preserve">7.  </t>
    </r>
    <r>
      <rPr>
        <b/>
        <u val="single"/>
        <sz val="16"/>
        <rFont val="TH SarabunPSK"/>
        <family val="2"/>
      </rPr>
      <t>ดอกเบี้ยเงินให้กู้ค้างรับ - สุทธิ</t>
    </r>
    <r>
      <rPr>
        <sz val="16"/>
        <rFont val="TH SarabunPSK"/>
        <family val="2"/>
      </rPr>
      <t xml:space="preserve">   ประกอบด้วย</t>
    </r>
  </si>
  <si>
    <r>
      <t xml:space="preserve">8.  </t>
    </r>
    <r>
      <rPr>
        <b/>
        <u val="single"/>
        <sz val="16"/>
        <rFont val="TH SarabunPSK"/>
        <family val="2"/>
      </rPr>
      <t>สินค้าคงเหลือ</t>
    </r>
    <r>
      <rPr>
        <sz val="16"/>
        <rFont val="TH SarabunPSK"/>
        <family val="2"/>
      </rPr>
      <t xml:space="preserve">   ประกอบด้วย</t>
    </r>
  </si>
  <si>
    <r>
      <t xml:space="preserve">9.  </t>
    </r>
    <r>
      <rPr>
        <b/>
        <u val="single"/>
        <sz val="16"/>
        <rFont val="TH SarabunPSK"/>
        <family val="2"/>
      </rPr>
      <t>สินทรัพย์หมุนเวียนอื่น</t>
    </r>
    <r>
      <rPr>
        <sz val="16"/>
        <rFont val="TH SarabunPSK"/>
        <family val="2"/>
      </rPr>
      <t xml:space="preserve">   ประกอบด้วย</t>
    </r>
  </si>
  <si>
    <r>
      <t xml:space="preserve">10.  </t>
    </r>
    <r>
      <rPr>
        <b/>
        <u val="single"/>
        <sz val="16"/>
        <rFont val="TH SarabunPSK"/>
        <family val="2"/>
      </rPr>
      <t>ที่ดิน อาคารและอุปกรณ์ - สุทธิ</t>
    </r>
    <r>
      <rPr>
        <sz val="16"/>
        <rFont val="TH SarabunPSK"/>
        <family val="2"/>
      </rPr>
      <t xml:space="preserve">   ประกอบด้วย</t>
    </r>
  </si>
  <si>
    <r>
      <t>11.</t>
    </r>
    <r>
      <rPr>
        <b/>
        <u val="single"/>
        <sz val="16"/>
        <rFont val="TH SarabunPSK"/>
        <family val="2"/>
      </rPr>
      <t>สินทรัพย์ไม่หมุนเวียนอื่น</t>
    </r>
    <r>
      <rPr>
        <sz val="16"/>
        <rFont val="TH SarabunPSK"/>
        <family val="2"/>
      </rPr>
      <t xml:space="preserve">  ประกอบด้วย</t>
    </r>
  </si>
  <si>
    <r>
      <t xml:space="preserve">12.  </t>
    </r>
    <r>
      <rPr>
        <b/>
        <u val="single"/>
        <sz val="16"/>
        <rFont val="TH SarabunPSK"/>
        <family val="2"/>
      </rPr>
      <t>เงินกู้ยืมระยะสั้น</t>
    </r>
    <r>
      <rPr>
        <sz val="16"/>
        <rFont val="TH SarabunPSK"/>
        <family val="2"/>
      </rPr>
      <t xml:space="preserve">   ประกอบด้วย</t>
    </r>
  </si>
  <si>
    <r>
      <t xml:space="preserve">13.  </t>
    </r>
    <r>
      <rPr>
        <b/>
        <u val="single"/>
        <sz val="16"/>
        <rFont val="TH SarabunPSK"/>
        <family val="2"/>
      </rPr>
      <t>เงินรับฝาก</t>
    </r>
    <r>
      <rPr>
        <sz val="16"/>
        <rFont val="TH SarabunPSK"/>
        <family val="2"/>
      </rPr>
      <t xml:space="preserve">   ประกอบด้วย</t>
    </r>
  </si>
  <si>
    <r>
      <t xml:space="preserve">14.  </t>
    </r>
    <r>
      <rPr>
        <b/>
        <u val="single"/>
        <sz val="16"/>
        <rFont val="TH SarabunPSK"/>
        <family val="2"/>
      </rPr>
      <t>หนี้สินหมุนเวียนอื่น</t>
    </r>
    <r>
      <rPr>
        <sz val="16"/>
        <rFont val="TH SarabunPSK"/>
        <family val="2"/>
      </rPr>
      <t xml:space="preserve">   ประกอบด้วย</t>
    </r>
  </si>
  <si>
    <r>
      <t xml:space="preserve">15.  </t>
    </r>
    <r>
      <rPr>
        <b/>
        <u val="single"/>
        <sz val="16"/>
        <rFont val="TH SarabunPSK"/>
        <family val="2"/>
      </rPr>
      <t>หนี้สินไม่หมุนเวียนอื่น</t>
    </r>
    <r>
      <rPr>
        <sz val="16"/>
        <rFont val="TH SarabunPSK"/>
        <family val="2"/>
      </rPr>
      <t xml:space="preserve">   ประกอบด้วย</t>
    </r>
  </si>
  <si>
    <r>
      <t xml:space="preserve">16.  </t>
    </r>
    <r>
      <rPr>
        <b/>
        <u val="single"/>
        <sz val="16"/>
        <rFont val="TH SarabunPSK"/>
        <family val="2"/>
      </rPr>
      <t>ทุนสะสมตามข้อบังคับ ระเบียบและอื่น ๆ</t>
    </r>
    <r>
      <rPr>
        <sz val="16"/>
        <rFont val="TH SarabunPSK"/>
        <family val="2"/>
      </rPr>
      <t xml:space="preserve">   ประกอบด้วย</t>
    </r>
  </si>
  <si>
    <r>
      <t xml:space="preserve">17.  </t>
    </r>
    <r>
      <rPr>
        <b/>
        <u val="single"/>
        <sz val="16"/>
        <rFont val="TH SarabunPSK"/>
        <family val="2"/>
      </rPr>
      <t>ทุนสะสมตามข้อบังคับ ระเบียบและอื่น ๆ</t>
    </r>
    <r>
      <rPr>
        <sz val="16"/>
        <rFont val="TH SarabunPSK"/>
        <family val="2"/>
      </rPr>
      <t xml:space="preserve">   ประกอบด้วย</t>
    </r>
  </si>
  <si>
    <t>ในอัตราที่นายทะเบียนสหกรณ์กำหนด  ทั้งนี้ยกเว้นที่ดิน</t>
  </si>
  <si>
    <t>สหกรณ์บันทึกร้านกาแฟอินทนิล ที่ได้รับบริจาคจากบริษัทบางจากปิโตเลียม จำกัด (มหาชน) เพื่อพัฒนาธุรกิจเสริมในปั๊มนำมัน</t>
  </si>
  <si>
    <t xml:space="preserve">นายทะเบียนสหกรณ์กำหนด  </t>
  </si>
  <si>
    <t>จำนวน 1,000,000.00 บาทไว้ในบัญชีอาคารและสิ่งปลูกสร้าง (ร้านกาแฟ) และคำนวณค่าเสื่อมราคาโดยวิธีเส้นตรงในอัตราที่</t>
  </si>
  <si>
    <t xml:space="preserve"> </t>
  </si>
  <si>
    <t xml:space="preserve">ระหว่างปีสหกรณ์กู้ยืมเงินจากธนาคารเพื่อการเกษตรและสหกรณ์การเกษตร เพื่อเป็นทุนให้สมาชิกกู้ จำนวน </t>
  </si>
  <si>
    <t xml:space="preserve">286,770,424.00 บาท อัตราดอกเบี้ยร้อยละ 5.00 บาทต่อปี, กู้เพื่อเป็นทุนหมุนเวียนจัดหาสินค้ามาจำหน่าย จำนวน </t>
  </si>
  <si>
    <t xml:space="preserve">37,814,037.00 บาท อัตราดอกเบี้ยร้อยละ 3.75  บาทต่อปี  และกู้เพื่อเป็นทุนหมุนเวียนให้สมาชิกกู้ จำนวน 61,818,000.00 บาท </t>
  </si>
  <si>
    <t>อัตราดอกเบี้ยร้อยละ 4.50 บาทต่อปี โดยมีคณะกรรมการดำเนินการเป็นผู้ค้ำประกัน</t>
  </si>
  <si>
    <t xml:space="preserve">สินค้ามาจำหน่าย อัตราดอกเบี้ยร้อยละ 3.00 บาทต่อปี ชำระคืนภายใน 1 ปี กำหนดชำระเสร็จสิ้นภายใน 31 มกราคม 2563 </t>
  </si>
  <si>
    <t xml:space="preserve">ระหว่างปีสหกรณ์กู้ยืมเงินกองทุนพัฒนาสหกรณ์จากกรมส่งเสริมสหกรณ์ จำนวน 3,000,00.00 บาท  </t>
  </si>
  <si>
    <t>เพื่อจัดหา</t>
  </si>
  <si>
    <t>และกู้ยืมเงินเพื่อรวบรวมผลผลิตทางการเกษตร  จำนวน 2,500,000.00 บาท อัตราดอกเบี้ยร้อยละ 1.00 บาทต่อปี กำหนดชำระ</t>
  </si>
  <si>
    <t xml:space="preserve">เสร็จสิ้นภายในวันที่ 28 มิถุนายน 2562 และกู้ยืมเงินเพื่อเป็นทุนให้สมาชิกกู้ยืมเลี้ยงโคและสุกร  จำนวน  5,000,000.00  บาท </t>
  </si>
  <si>
    <t>อัตราดอกเบี้ยร้อยละ 1.00  บาทต่อปี กำหนดชำระเสร็จสิ้นภายในวันที่ 29 พฤศจิกายน 2562 โดยมีคณะกรรมการดำเนินการ</t>
  </si>
  <si>
    <t>และผู้จัดการเป็นผู้ค้ำประกัน</t>
  </si>
  <si>
    <r>
      <t>หัก</t>
    </r>
    <r>
      <rPr>
        <sz val="16"/>
        <rFont val="TH SarabunPSK"/>
        <family val="2"/>
      </rPr>
      <t xml:space="preserve">  ต้นทุนขาย/ บริการ (งบต้นทุนขาย/ บริการ)  </t>
    </r>
  </si>
  <si>
    <r>
      <t>บวก</t>
    </r>
    <r>
      <rPr>
        <sz val="16"/>
        <rFont val="TH SarabunPSK"/>
        <family val="2"/>
      </rPr>
      <t xml:space="preserve">  รายได้เฉพาะธุรกิจ</t>
    </r>
  </si>
  <si>
    <r>
      <t>หัก</t>
    </r>
    <r>
      <rPr>
        <sz val="16"/>
        <rFont val="TH SarabunPSK"/>
        <family val="2"/>
      </rPr>
      <t xml:space="preserve">  ค่าใช้จ่ายเฉพาะธุรกิจ</t>
    </r>
  </si>
  <si>
    <r>
      <t>หัก</t>
    </r>
    <r>
      <rPr>
        <sz val="16"/>
        <rFont val="TH SarabunPSK"/>
        <family val="2"/>
      </rPr>
      <t xml:space="preserve">  ต้นทุนบริการ</t>
    </r>
  </si>
  <si>
    <r>
      <t>บวก</t>
    </r>
    <r>
      <rPr>
        <sz val="16"/>
        <rFont val="TH SarabunPSK"/>
        <family val="2"/>
      </rPr>
      <t xml:space="preserve">  </t>
    </r>
  </si>
  <si>
    <r>
      <t>หัก</t>
    </r>
    <r>
      <rPr>
        <sz val="16"/>
        <rFont val="TH SarabunPSK"/>
        <family val="2"/>
      </rPr>
      <t xml:space="preserve">  ต้นทุนขาย</t>
    </r>
  </si>
  <si>
    <r>
      <t>บวก</t>
    </r>
    <r>
      <rPr>
        <sz val="16"/>
        <rFont val="TH SarabunPSK"/>
        <family val="2"/>
      </rPr>
      <t xml:space="preserve"> </t>
    </r>
  </si>
  <si>
    <r>
      <t>หัก</t>
    </r>
    <r>
      <rPr>
        <sz val="16"/>
        <rFont val="TH SarabunPSK"/>
        <family val="2"/>
      </rPr>
      <t xml:space="preserve"> </t>
    </r>
  </si>
  <si>
    <t>วันที่  24   กรกฎาคม 2562</t>
  </si>
  <si>
    <t>สหกรณ์บันทึกลานตากผลิตผลการเกษตรที่ได้รับเงินอุดหนุนตามโครงการจัดตั้งนิคมการเกษตร พืชอาหารและพืชพลังงาน</t>
  </si>
  <si>
    <t xml:space="preserve">ทดแทน จำนวนเงิน 1,300,000.00 บาท ไว้ในบัญชีอาคารและสิ่งปลูกสร้าง (ลานตาก) และคำนวณค่าเสื่อมราคาโดยวิธีเส้นตรง </t>
  </si>
  <si>
    <t>สหกรณ์ได้รับเงินอุดหนุนจากรัฐบาลผ่านสำนักงานสหกรณ์จังหวัดสุโขทัย จำนวน 1,048,500.00 บาท เพื่อตั้งเป็นกองทุน</t>
  </si>
  <si>
    <t xml:space="preserve">เพื่อการฟื้นฟูอาชีพของสมาชิกที่เข้าร่วมโครงการลดภาระหนี้เกษตรกรรายย่อยและความยากจน เฉลี่ยรายละ 3,000.00 บาท </t>
  </si>
  <si>
    <t xml:space="preserve">สินค้าคงเหลือสภาพเสียชำรุด ประกอบด้วย สารปรับสภาพดินทีเค 39 กระสอบ ราคาทุนเป็นเงิน 15,210.00 บาท  </t>
  </si>
  <si>
    <t xml:space="preserve">น้ำส้มควันไม้ 21 ขวด ราคาทุนเป็นเงิน 2.730.00 บาท เป็นไปตามมติที่ประชุมคณะกรรมการดำเนินการชุดที่ 35 </t>
  </si>
  <si>
    <t xml:space="preserve">ลงวันที่ 9 เมษายน 2562 </t>
  </si>
  <si>
    <t xml:space="preserve"> - 5 - </t>
  </si>
  <si>
    <t xml:space="preserve"> - 6 -</t>
  </si>
  <si>
    <t>-7 -</t>
  </si>
  <si>
    <t>-8-</t>
  </si>
  <si>
    <r>
      <t>บวก</t>
    </r>
    <r>
      <rPr>
        <sz val="16"/>
        <rFont val="TH SarabunPSK"/>
        <family val="2"/>
      </rPr>
      <t xml:space="preserve">  รายได้อื่น   (รายละเอียด 5)</t>
    </r>
  </si>
  <si>
    <r>
      <t>หัก</t>
    </r>
    <r>
      <rPr>
        <sz val="16"/>
        <rFont val="TH SarabunPSK"/>
        <family val="2"/>
      </rPr>
      <t xml:space="preserve">  ค่าใช้จ่ายในการดำเนินงาน (รายละเอียด 6)</t>
    </r>
  </si>
  <si>
    <t xml:space="preserve">รายละเอียดประกอบงบการเงิน 6   </t>
  </si>
  <si>
    <t>กำไรเฉพาะธุรกิจ (รายละเอียด 1 - 4)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</si>
</sst>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\(0.00\)"/>
    <numFmt numFmtId="201" formatCode="\(#,##0.00\)"/>
    <numFmt numFmtId="202" formatCode="_-* #,##0.0_-;\-* #,##0.0_-;_-* &quot;-&quot;??_-;_-@_-"/>
    <numFmt numFmtId="203" formatCode="_-* #,##0_-;\-* #,##0_-;_-* &quot;-&quot;??_-;_-@_-"/>
    <numFmt numFmtId="204" formatCode="0.0"/>
    <numFmt numFmtId="205" formatCode="0.00_ ;\-0.00\ "/>
    <numFmt numFmtId="206" formatCode="0.0_ ;\-0.0\ "/>
    <numFmt numFmtId="207" formatCode="0_ ;\-0\ "/>
    <numFmt numFmtId="208" formatCode="0.00000000000000_ ;\-0.00000000000000\ "/>
    <numFmt numFmtId="209" formatCode="0.0000000000000_ ;\-0.0000000000000\ "/>
    <numFmt numFmtId="210" formatCode="0.000000000000_ ;\-0.000000000000\ "/>
    <numFmt numFmtId="211" formatCode="0.00000000000_ ;\-0.00000000000\ "/>
    <numFmt numFmtId="212" formatCode="0.0000000000_ ;\-0.0000000000\ "/>
    <numFmt numFmtId="213" formatCode="0.000_ ;\-0.000\ "/>
    <numFmt numFmtId="214" formatCode="0.0000_ ;\-0.0000\ "/>
    <numFmt numFmtId="215" formatCode="0.00000_ ;\-0.00000\ "/>
    <numFmt numFmtId="216" formatCode="0.000000_ ;\-0.000000\ "/>
    <numFmt numFmtId="217" formatCode="0.0000000_ ;\-0.0000000\ "/>
    <numFmt numFmtId="218" formatCode="_-* #,##0.000_-;\-* #,##0.000_-;_-* &quot;-&quot;??_-;_-@_-"/>
    <numFmt numFmtId="219" formatCode="#,##0_ ;\-#,##0\ "/>
    <numFmt numFmtId="220" formatCode="#,##0.0_ ;\-#,##0.0\ "/>
    <numFmt numFmtId="221" formatCode="0.000"/>
    <numFmt numFmtId="222" formatCode="#,##0.00_);[Black]\(#,##0.00\)"/>
    <numFmt numFmtId="223" formatCode="#,##0.000_);[Black]\(#,##0.000\)"/>
    <numFmt numFmtId="224" formatCode="0.000000000"/>
    <numFmt numFmtId="225" formatCode="0.00;[Red]0.00"/>
    <numFmt numFmtId="226" formatCode="0;[Red]0"/>
    <numFmt numFmtId="227" formatCode="#,##0.0_);[Black]\(#,##0.0\)"/>
    <numFmt numFmtId="228" formatCode="#,##0_);[Black]\(#,##0\)"/>
    <numFmt numFmtId="229" formatCode="#,##0.0000_);[Black]\(#,##0.0000\)"/>
    <numFmt numFmtId="230" formatCode="#,##0.000"/>
    <numFmt numFmtId="231" formatCode="_-* #,##0.0000_-;\-* #,##0.0000_-;_-* &quot;-&quot;??_-;_-@_-"/>
    <numFmt numFmtId="232" formatCode="_-* #,##0.00000_-;\-* #,##0.00000_-;_-* &quot;-&quot;??_-;_-@_-"/>
    <numFmt numFmtId="233" formatCode="&quot;ใช่&quot;;&quot;ใช่&quot;;&quot;ไม่ใช่&quot;"/>
    <numFmt numFmtId="234" formatCode="&quot;จริง&quot;;&quot;จริง&quot;;&quot;เท็จ&quot;"/>
    <numFmt numFmtId="235" formatCode="&quot;เปิด&quot;;&quot;เปิด&quot;;&quot;ปิด&quot;"/>
    <numFmt numFmtId="236" formatCode="[$€-2]\ #,##0.00_);[Red]\([$€-2]\ #,##0.00\)"/>
  </numFmts>
  <fonts count="51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Cordia New"/>
      <family val="2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2"/>
      <color indexed="8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22" fontId="4" fillId="0" borderId="0" xfId="38" applyNumberFormat="1" applyFont="1" applyAlignment="1">
      <alignment horizontal="right"/>
    </xf>
    <xf numFmtId="222" fontId="4" fillId="0" borderId="0" xfId="0" applyNumberFormat="1" applyFont="1" applyAlignment="1">
      <alignment horizontal="right"/>
    </xf>
    <xf numFmtId="222" fontId="4" fillId="0" borderId="0" xfId="0" applyNumberFormat="1" applyFont="1" applyBorder="1" applyAlignment="1">
      <alignment horizontal="right"/>
    </xf>
    <xf numFmtId="222" fontId="4" fillId="0" borderId="0" xfId="38" applyNumberFormat="1" applyFont="1" applyBorder="1" applyAlignment="1">
      <alignment horizontal="right"/>
    </xf>
    <xf numFmtId="222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22" fontId="6" fillId="0" borderId="15" xfId="38" applyNumberFormat="1" applyFont="1" applyBorder="1" applyAlignment="1">
      <alignment horizontal="right"/>
    </xf>
    <xf numFmtId="222" fontId="6" fillId="0" borderId="15" xfId="38" applyNumberFormat="1" applyFont="1" applyBorder="1" applyAlignment="1">
      <alignment horizontal="center"/>
    </xf>
    <xf numFmtId="43" fontId="4" fillId="0" borderId="0" xfId="38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22" fontId="4" fillId="0" borderId="0" xfId="0" applyNumberFormat="1" applyFont="1" applyAlignment="1">
      <alignment/>
    </xf>
    <xf numFmtId="222" fontId="5" fillId="0" borderId="0" xfId="0" applyNumberFormat="1" applyFont="1" applyAlignment="1">
      <alignment horizontal="center"/>
    </xf>
    <xf numFmtId="222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22" fontId="6" fillId="0" borderId="0" xfId="0" applyNumberFormat="1" applyFont="1" applyAlignment="1">
      <alignment horizontal="right"/>
    </xf>
    <xf numFmtId="222" fontId="4" fillId="0" borderId="0" xfId="38" applyNumberFormat="1" applyFont="1" applyAlignment="1">
      <alignment/>
    </xf>
    <xf numFmtId="0" fontId="6" fillId="0" borderId="0" xfId="0" applyFont="1" applyAlignment="1">
      <alignment/>
    </xf>
    <xf numFmtId="223" fontId="4" fillId="0" borderId="0" xfId="0" applyNumberFormat="1" applyFont="1" applyAlignment="1">
      <alignment/>
    </xf>
    <xf numFmtId="222" fontId="5" fillId="0" borderId="0" xfId="38" applyNumberFormat="1" applyFont="1" applyAlignment="1">
      <alignment horizontal="center"/>
    </xf>
    <xf numFmtId="222" fontId="4" fillId="0" borderId="16" xfId="38" applyNumberFormat="1" applyFont="1" applyBorder="1" applyAlignment="1">
      <alignment horizontal="right"/>
    </xf>
    <xf numFmtId="222" fontId="4" fillId="0" borderId="16" xfId="38" applyNumberFormat="1" applyFont="1" applyBorder="1" applyAlignment="1">
      <alignment horizontal="center"/>
    </xf>
    <xf numFmtId="222" fontId="6" fillId="0" borderId="0" xfId="0" applyNumberFormat="1" applyFont="1" applyBorder="1" applyAlignment="1">
      <alignment horizontal="right"/>
    </xf>
    <xf numFmtId="222" fontId="4" fillId="0" borderId="0" xfId="0" applyNumberFormat="1" applyFont="1" applyAlignment="1">
      <alignment/>
    </xf>
    <xf numFmtId="222" fontId="4" fillId="0" borderId="0" xfId="0" applyNumberFormat="1" applyFont="1" applyBorder="1" applyAlignment="1">
      <alignment horizontal="center"/>
    </xf>
    <xf numFmtId="222" fontId="4" fillId="0" borderId="16" xfId="0" applyNumberFormat="1" applyFont="1" applyBorder="1" applyAlignment="1">
      <alignment horizontal="right"/>
    </xf>
    <xf numFmtId="222" fontId="4" fillId="0" borderId="0" xfId="38" applyNumberFormat="1" applyFont="1" applyAlignment="1">
      <alignment/>
    </xf>
    <xf numFmtId="222" fontId="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99" fontId="9" fillId="0" borderId="0" xfId="38" applyNumberFormat="1" applyFont="1" applyFill="1" applyAlignment="1">
      <alignment/>
    </xf>
    <xf numFmtId="199" fontId="9" fillId="0" borderId="0" xfId="38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199" fontId="8" fillId="0" borderId="15" xfId="0" applyNumberFormat="1" applyFont="1" applyFill="1" applyBorder="1" applyAlignment="1">
      <alignment/>
    </xf>
    <xf numFmtId="199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5" fontId="9" fillId="0" borderId="0" xfId="38" applyNumberFormat="1" applyFont="1" applyFill="1" applyAlignment="1">
      <alignment/>
    </xf>
    <xf numFmtId="205" fontId="9" fillId="0" borderId="0" xfId="38" applyNumberFormat="1" applyFont="1" applyFill="1" applyBorder="1" applyAlignment="1">
      <alignment/>
    </xf>
    <xf numFmtId="205" fontId="9" fillId="0" borderId="0" xfId="38" applyNumberFormat="1" applyFont="1" applyFill="1" applyAlignment="1">
      <alignment horizontal="right"/>
    </xf>
    <xf numFmtId="2" fontId="9" fillId="0" borderId="0" xfId="38" applyNumberFormat="1" applyFont="1" applyFill="1" applyAlignment="1">
      <alignment/>
    </xf>
    <xf numFmtId="205" fontId="8" fillId="0" borderId="15" xfId="0" applyNumberFormat="1" applyFont="1" applyFill="1" applyBorder="1" applyAlignment="1">
      <alignment horizontal="right"/>
    </xf>
    <xf numFmtId="205" fontId="8" fillId="0" borderId="0" xfId="0" applyNumberFormat="1" applyFont="1" applyFill="1" applyBorder="1" applyAlignment="1">
      <alignment/>
    </xf>
    <xf numFmtId="205" fontId="8" fillId="0" borderId="15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22" fontId="9" fillId="0" borderId="0" xfId="0" applyNumberFormat="1" applyFont="1" applyFill="1" applyAlignment="1">
      <alignment horizontal="right"/>
    </xf>
    <xf numFmtId="222" fontId="9" fillId="0" borderId="0" xfId="0" applyNumberFormat="1" applyFont="1" applyFill="1" applyBorder="1" applyAlignment="1">
      <alignment horizontal="right"/>
    </xf>
    <xf numFmtId="222" fontId="9" fillId="0" borderId="0" xfId="38" applyNumberFormat="1" applyFont="1" applyFill="1" applyAlignment="1">
      <alignment horizontal="right"/>
    </xf>
    <xf numFmtId="199" fontId="9" fillId="0" borderId="0" xfId="38" applyNumberFormat="1" applyFont="1" applyFill="1" applyAlignment="1">
      <alignment horizontal="right"/>
    </xf>
    <xf numFmtId="222" fontId="8" fillId="0" borderId="0" xfId="0" applyNumberFormat="1" applyFont="1" applyFill="1" applyAlignment="1">
      <alignment horizontal="right"/>
    </xf>
    <xf numFmtId="222" fontId="8" fillId="0" borderId="0" xfId="38" applyNumberFormat="1" applyFont="1" applyFill="1" applyBorder="1" applyAlignment="1">
      <alignment horizontal="right"/>
    </xf>
    <xf numFmtId="222" fontId="8" fillId="0" borderId="0" xfId="38" applyNumberFormat="1" applyFont="1" applyFill="1" applyAlignment="1">
      <alignment horizontal="right"/>
    </xf>
    <xf numFmtId="199" fontId="8" fillId="0" borderId="15" xfId="38" applyNumberFormat="1" applyFont="1" applyFill="1" applyBorder="1" applyAlignment="1">
      <alignment horizontal="right"/>
    </xf>
    <xf numFmtId="199" fontId="8" fillId="0" borderId="0" xfId="38" applyNumberFormat="1" applyFont="1" applyFill="1" applyAlignment="1">
      <alignment horizontal="right"/>
    </xf>
    <xf numFmtId="43" fontId="9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right"/>
    </xf>
    <xf numFmtId="222" fontId="10" fillId="0" borderId="0" xfId="0" applyNumberFormat="1" applyFont="1" applyFill="1" applyBorder="1" applyAlignment="1">
      <alignment horizontal="center"/>
    </xf>
    <xf numFmtId="222" fontId="9" fillId="0" borderId="0" xfId="0" applyNumberFormat="1" applyFont="1" applyFill="1" applyAlignment="1">
      <alignment/>
    </xf>
    <xf numFmtId="222" fontId="10" fillId="0" borderId="0" xfId="0" applyNumberFormat="1" applyFont="1" applyFill="1" applyAlignment="1">
      <alignment horizontal="center"/>
    </xf>
    <xf numFmtId="199" fontId="9" fillId="0" borderId="0" xfId="0" applyNumberFormat="1" applyFont="1" applyFill="1" applyAlignment="1">
      <alignment/>
    </xf>
    <xf numFmtId="199" fontId="9" fillId="0" borderId="0" xfId="0" applyNumberFormat="1" applyFont="1" applyFill="1" applyBorder="1" applyAlignment="1">
      <alignment/>
    </xf>
    <xf numFmtId="199" fontId="9" fillId="0" borderId="12" xfId="38" applyNumberFormat="1" applyFont="1" applyFill="1" applyBorder="1" applyAlignment="1">
      <alignment/>
    </xf>
    <xf numFmtId="199" fontId="9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99" fontId="9" fillId="0" borderId="14" xfId="38" applyNumberFormat="1" applyFont="1" applyFill="1" applyBorder="1" applyAlignment="1">
      <alignment/>
    </xf>
    <xf numFmtId="199" fontId="8" fillId="0" borderId="23" xfId="38" applyNumberFormat="1" applyFont="1" applyFill="1" applyBorder="1" applyAlignment="1">
      <alignment/>
    </xf>
    <xf numFmtId="199" fontId="8" fillId="0" borderId="0" xfId="38" applyNumberFormat="1" applyFont="1" applyFill="1" applyBorder="1" applyAlignment="1">
      <alignment/>
    </xf>
    <xf numFmtId="222" fontId="9" fillId="0" borderId="0" xfId="38" applyNumberFormat="1" applyFont="1" applyFill="1" applyAlignment="1">
      <alignment/>
    </xf>
    <xf numFmtId="199" fontId="8" fillId="0" borderId="15" xfId="38" applyNumberFormat="1" applyFont="1" applyFill="1" applyBorder="1" applyAlignment="1">
      <alignment/>
    </xf>
    <xf numFmtId="199" fontId="9" fillId="0" borderId="14" xfId="0" applyNumberFormat="1" applyFont="1" applyFill="1" applyBorder="1" applyAlignment="1">
      <alignment/>
    </xf>
    <xf numFmtId="199" fontId="8" fillId="0" borderId="0" xfId="0" applyNumberFormat="1" applyFont="1" applyFill="1" applyAlignment="1">
      <alignment/>
    </xf>
    <xf numFmtId="43" fontId="8" fillId="0" borderId="0" xfId="38" applyFont="1" applyFill="1" applyAlignment="1">
      <alignment/>
    </xf>
    <xf numFmtId="222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99" fontId="8" fillId="0" borderId="16" xfId="0" applyNumberFormat="1" applyFont="1" applyFill="1" applyBorder="1" applyAlignment="1">
      <alignment/>
    </xf>
    <xf numFmtId="222" fontId="8" fillId="0" borderId="0" xfId="0" applyNumberFormat="1" applyFont="1" applyFill="1" applyBorder="1" applyAlignment="1">
      <alignment/>
    </xf>
    <xf numFmtId="222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199" fontId="9" fillId="0" borderId="16" xfId="38" applyNumberFormat="1" applyFont="1" applyFill="1" applyBorder="1" applyAlignment="1">
      <alignment/>
    </xf>
    <xf numFmtId="199" fontId="9" fillId="0" borderId="0" xfId="0" applyNumberFormat="1" applyFont="1" applyFill="1" applyAlignment="1">
      <alignment horizontal="right"/>
    </xf>
    <xf numFmtId="199" fontId="9" fillId="0" borderId="15" xfId="0" applyNumberFormat="1" applyFont="1" applyFill="1" applyBorder="1" applyAlignment="1">
      <alignment/>
    </xf>
    <xf numFmtId="199" fontId="9" fillId="0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99" fontId="8" fillId="0" borderId="0" xfId="0" applyNumberFormat="1" applyFont="1" applyFill="1" applyAlignment="1">
      <alignment horizontal="right"/>
    </xf>
    <xf numFmtId="4" fontId="9" fillId="0" borderId="0" xfId="38" applyNumberFormat="1" applyFont="1" applyFill="1" applyBorder="1" applyAlignment="1">
      <alignment/>
    </xf>
    <xf numFmtId="199" fontId="9" fillId="0" borderId="16" xfId="0" applyNumberFormat="1" applyFont="1" applyFill="1" applyBorder="1" applyAlignment="1">
      <alignment/>
    </xf>
    <xf numFmtId="199" fontId="10" fillId="0" borderId="0" xfId="0" applyNumberFormat="1" applyFont="1" applyFill="1" applyAlignment="1">
      <alignment horizontal="center"/>
    </xf>
    <xf numFmtId="199" fontId="8" fillId="0" borderId="23" xfId="0" applyNumberFormat="1" applyFont="1" applyFill="1" applyBorder="1" applyAlignment="1">
      <alignment/>
    </xf>
    <xf numFmtId="199" fontId="9" fillId="0" borderId="0" xfId="38" applyNumberFormat="1" applyFont="1" applyFill="1" applyAlignment="1">
      <alignment/>
    </xf>
    <xf numFmtId="199" fontId="9" fillId="0" borderId="0" xfId="0" applyNumberFormat="1" applyFont="1" applyFill="1" applyAlignment="1">
      <alignment/>
    </xf>
    <xf numFmtId="199" fontId="8" fillId="0" borderId="15" xfId="0" applyNumberFormat="1" applyFont="1" applyFill="1" applyBorder="1" applyAlignment="1">
      <alignment/>
    </xf>
    <xf numFmtId="222" fontId="8" fillId="0" borderId="0" xfId="0" applyNumberFormat="1" applyFont="1" applyFill="1" applyBorder="1" applyAlignment="1">
      <alignment/>
    </xf>
    <xf numFmtId="222" fontId="9" fillId="0" borderId="0" xfId="0" applyNumberFormat="1" applyFont="1" applyFill="1" applyAlignment="1">
      <alignment/>
    </xf>
    <xf numFmtId="199" fontId="8" fillId="0" borderId="15" xfId="0" applyNumberFormat="1" applyFont="1" applyFill="1" applyBorder="1" applyAlignment="1">
      <alignment horizontal="right"/>
    </xf>
    <xf numFmtId="43" fontId="8" fillId="0" borderId="0" xfId="38" applyFont="1" applyFill="1" applyBorder="1" applyAlignment="1">
      <alignment/>
    </xf>
    <xf numFmtId="0" fontId="8" fillId="0" borderId="0" xfId="0" applyFont="1" applyFill="1" applyAlignment="1">
      <alignment horizontal="right"/>
    </xf>
    <xf numFmtId="222" fontId="8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3" fontId="9" fillId="0" borderId="0" xfId="38" applyFont="1" applyAlignment="1">
      <alignment/>
    </xf>
    <xf numFmtId="0" fontId="9" fillId="0" borderId="0" xfId="0" applyFont="1" applyAlignment="1">
      <alignment/>
    </xf>
    <xf numFmtId="222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22" fontId="9" fillId="0" borderId="0" xfId="0" applyNumberFormat="1" applyFont="1" applyAlignment="1">
      <alignment/>
    </xf>
    <xf numFmtId="222" fontId="9" fillId="0" borderId="0" xfId="38" applyNumberFormat="1" applyFont="1" applyAlignment="1">
      <alignment/>
    </xf>
    <xf numFmtId="0" fontId="11" fillId="0" borderId="0" xfId="0" applyFont="1" applyAlignment="1">
      <alignment/>
    </xf>
    <xf numFmtId="222" fontId="9" fillId="0" borderId="14" xfId="38" applyNumberFormat="1" applyFont="1" applyBorder="1" applyAlignment="1">
      <alignment/>
    </xf>
    <xf numFmtId="222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3" fontId="8" fillId="0" borderId="0" xfId="38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222" fontId="8" fillId="0" borderId="0" xfId="0" applyNumberFormat="1" applyFont="1" applyBorder="1" applyAlignment="1">
      <alignment/>
    </xf>
    <xf numFmtId="222" fontId="9" fillId="0" borderId="0" xfId="38" applyNumberFormat="1" applyFont="1" applyBorder="1" applyAlignment="1">
      <alignment/>
    </xf>
    <xf numFmtId="22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199" fontId="9" fillId="0" borderId="0" xfId="38" applyNumberFormat="1" applyFont="1" applyAlignment="1">
      <alignment/>
    </xf>
    <xf numFmtId="199" fontId="9" fillId="0" borderId="0" xfId="0" applyNumberFormat="1" applyFont="1" applyAlignment="1">
      <alignment/>
    </xf>
    <xf numFmtId="199" fontId="9" fillId="0" borderId="14" xfId="38" applyNumberFormat="1" applyFont="1" applyBorder="1" applyAlignment="1">
      <alignment/>
    </xf>
    <xf numFmtId="199" fontId="9" fillId="0" borderId="0" xfId="0" applyNumberFormat="1" applyFont="1" applyBorder="1" applyAlignment="1">
      <alignment/>
    </xf>
    <xf numFmtId="199" fontId="8" fillId="0" borderId="0" xfId="0" applyNumberFormat="1" applyFont="1" applyAlignment="1">
      <alignment/>
    </xf>
    <xf numFmtId="199" fontId="8" fillId="0" borderId="15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222" fontId="9" fillId="0" borderId="14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222" fontId="9" fillId="0" borderId="16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9" fontId="1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9" fontId="9" fillId="0" borderId="0" xfId="38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199" fontId="8" fillId="0" borderId="16" xfId="38" applyNumberFormat="1" applyFont="1" applyFill="1" applyBorder="1" applyAlignment="1">
      <alignment/>
    </xf>
    <xf numFmtId="225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38" applyFont="1" applyAlignment="1">
      <alignment horizontal="center"/>
    </xf>
    <xf numFmtId="225" fontId="10" fillId="0" borderId="0" xfId="0" applyNumberFormat="1" applyFont="1" applyAlignment="1">
      <alignment horizontal="center"/>
    </xf>
    <xf numFmtId="199" fontId="9" fillId="0" borderId="0" xfId="38" applyNumberFormat="1" applyFont="1" applyAlignment="1">
      <alignment horizontal="right"/>
    </xf>
    <xf numFmtId="199" fontId="9" fillId="0" borderId="0" xfId="0" applyNumberFormat="1" applyFont="1" applyAlignment="1">
      <alignment horizontal="right"/>
    </xf>
    <xf numFmtId="219" fontId="9" fillId="0" borderId="0" xfId="38" applyNumberFormat="1" applyFont="1" applyAlignment="1">
      <alignment horizontal="center"/>
    </xf>
    <xf numFmtId="199" fontId="9" fillId="0" borderId="0" xfId="0" applyNumberFormat="1" applyFont="1" applyBorder="1" applyAlignment="1">
      <alignment horizontal="right"/>
    </xf>
    <xf numFmtId="199" fontId="9" fillId="0" borderId="0" xfId="38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99" fontId="9" fillId="0" borderId="14" xfId="38" applyNumberFormat="1" applyFont="1" applyBorder="1" applyAlignment="1">
      <alignment horizontal="right"/>
    </xf>
    <xf numFmtId="199" fontId="10" fillId="0" borderId="0" xfId="0" applyNumberFormat="1" applyFont="1" applyAlignment="1">
      <alignment horizontal="right"/>
    </xf>
    <xf numFmtId="199" fontId="9" fillId="0" borderId="14" xfId="0" applyNumberFormat="1" applyFont="1" applyBorder="1" applyAlignment="1">
      <alignment horizontal="center"/>
    </xf>
    <xf numFmtId="199" fontId="9" fillId="0" borderId="14" xfId="38" applyNumberFormat="1" applyFont="1" applyBorder="1" applyAlignment="1">
      <alignment horizontal="center"/>
    </xf>
    <xf numFmtId="199" fontId="9" fillId="0" borderId="0" xfId="0" applyNumberFormat="1" applyFont="1" applyAlignment="1">
      <alignment horizontal="center"/>
    </xf>
    <xf numFmtId="199" fontId="9" fillId="0" borderId="0" xfId="38" applyNumberFormat="1" applyFont="1" applyBorder="1" applyAlignment="1">
      <alignment horizontal="center"/>
    </xf>
    <xf numFmtId="199" fontId="9" fillId="0" borderId="0" xfId="38" applyNumberFormat="1" applyFont="1" applyAlignment="1">
      <alignment horizontal="center"/>
    </xf>
    <xf numFmtId="199" fontId="9" fillId="0" borderId="12" xfId="38" applyNumberFormat="1" applyFont="1" applyBorder="1" applyAlignment="1">
      <alignment horizontal="right"/>
    </xf>
    <xf numFmtId="199" fontId="8" fillId="0" borderId="15" xfId="38" applyNumberFormat="1" applyFont="1" applyBorder="1" applyAlignment="1">
      <alignment horizontal="right"/>
    </xf>
    <xf numFmtId="199" fontId="8" fillId="0" borderId="15" xfId="38" applyNumberFormat="1" applyFont="1" applyBorder="1" applyAlignment="1">
      <alignment horizontal="center"/>
    </xf>
    <xf numFmtId="225" fontId="9" fillId="0" borderId="0" xfId="0" applyNumberFormat="1" applyFont="1" applyAlignment="1">
      <alignment horizontal="center"/>
    </xf>
    <xf numFmtId="43" fontId="8" fillId="0" borderId="0" xfId="38" applyFont="1" applyBorder="1" applyAlignment="1">
      <alignment/>
    </xf>
    <xf numFmtId="205" fontId="8" fillId="0" borderId="0" xfId="38" applyNumberFormat="1" applyFont="1" applyBorder="1" applyAlignment="1">
      <alignment horizontal="center"/>
    </xf>
    <xf numFmtId="199" fontId="8" fillId="0" borderId="0" xfId="38" applyNumberFormat="1" applyFont="1" applyBorder="1" applyAlignment="1">
      <alignment horizontal="center"/>
    </xf>
    <xf numFmtId="201" fontId="8" fillId="0" borderId="0" xfId="38" applyNumberFormat="1" applyFont="1" applyBorder="1" applyAlignment="1">
      <alignment/>
    </xf>
    <xf numFmtId="201" fontId="8" fillId="0" borderId="0" xfId="38" applyNumberFormat="1" applyFont="1" applyBorder="1" applyAlignment="1">
      <alignment horizontal="center"/>
    </xf>
    <xf numFmtId="43" fontId="9" fillId="0" borderId="0" xfId="38" applyFont="1" applyBorder="1" applyAlignment="1">
      <alignment/>
    </xf>
    <xf numFmtId="205" fontId="9" fillId="0" borderId="0" xfId="0" applyNumberFormat="1" applyFont="1" applyBorder="1" applyAlignment="1">
      <alignment horizontal="center"/>
    </xf>
    <xf numFmtId="199" fontId="9" fillId="0" borderId="0" xfId="38" applyNumberFormat="1" applyFont="1" applyBorder="1" applyAlignment="1">
      <alignment/>
    </xf>
    <xf numFmtId="222" fontId="9" fillId="0" borderId="0" xfId="0" applyNumberFormat="1" applyFont="1" applyAlignment="1">
      <alignment/>
    </xf>
    <xf numFmtId="222" fontId="9" fillId="0" borderId="0" xfId="0" applyNumberFormat="1" applyFont="1" applyAlignment="1">
      <alignment horizontal="right"/>
    </xf>
    <xf numFmtId="229" fontId="9" fillId="0" borderId="0" xfId="0" applyNumberFormat="1" applyFont="1" applyAlignment="1">
      <alignment/>
    </xf>
    <xf numFmtId="222" fontId="9" fillId="0" borderId="0" xfId="0" applyNumberFormat="1" applyFont="1" applyFill="1" applyAlignment="1">
      <alignment horizontal="center"/>
    </xf>
    <xf numFmtId="222" fontId="9" fillId="0" borderId="0" xfId="0" applyNumberFormat="1" applyFont="1" applyAlignment="1">
      <alignment horizontal="center"/>
    </xf>
    <xf numFmtId="222" fontId="10" fillId="0" borderId="0" xfId="38" applyNumberFormat="1" applyFont="1" applyFill="1" applyAlignment="1">
      <alignment horizontal="center"/>
    </xf>
    <xf numFmtId="222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/>
    </xf>
    <xf numFmtId="228" fontId="9" fillId="0" borderId="12" xfId="38" applyNumberFormat="1" applyFont="1" applyFill="1" applyBorder="1" applyAlignment="1">
      <alignment horizontal="center"/>
    </xf>
    <xf numFmtId="228" fontId="9" fillId="0" borderId="12" xfId="38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222" fontId="9" fillId="0" borderId="16" xfId="0" applyNumberFormat="1" applyFont="1" applyFill="1" applyBorder="1" applyAlignment="1">
      <alignment horizontal="center"/>
    </xf>
    <xf numFmtId="222" fontId="9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222" fontId="9" fillId="0" borderId="0" xfId="38" applyNumberFormat="1" applyFont="1" applyFill="1" applyAlignment="1">
      <alignment horizontal="center"/>
    </xf>
    <xf numFmtId="222" fontId="9" fillId="0" borderId="16" xfId="38" applyNumberFormat="1" applyFont="1" applyFill="1" applyBorder="1" applyAlignment="1">
      <alignment horizontal="center"/>
    </xf>
    <xf numFmtId="222" fontId="8" fillId="0" borderId="15" xfId="38" applyNumberFormat="1" applyFont="1" applyFill="1" applyBorder="1" applyAlignment="1">
      <alignment horizontal="right"/>
    </xf>
    <xf numFmtId="222" fontId="8" fillId="0" borderId="15" xfId="38" applyNumberFormat="1" applyFont="1" applyFill="1" applyBorder="1" applyAlignment="1">
      <alignment horizontal="center"/>
    </xf>
    <xf numFmtId="222" fontId="8" fillId="0" borderId="0" xfId="0" applyNumberFormat="1" applyFont="1" applyFill="1" applyBorder="1" applyAlignment="1">
      <alignment horizontal="right"/>
    </xf>
    <xf numFmtId="222" fontId="8" fillId="0" borderId="0" xfId="0" applyNumberFormat="1" applyFont="1" applyAlignment="1">
      <alignment horizontal="right"/>
    </xf>
    <xf numFmtId="222" fontId="12" fillId="0" borderId="0" xfId="0" applyNumberFormat="1" applyFont="1" applyAlignment="1">
      <alignment/>
    </xf>
    <xf numFmtId="199" fontId="9" fillId="0" borderId="0" xfId="0" applyNumberFormat="1" applyFont="1" applyFill="1" applyAlignment="1">
      <alignment horizontal="center"/>
    </xf>
    <xf numFmtId="199" fontId="9" fillId="0" borderId="0" xfId="0" applyNumberFormat="1" applyFont="1" applyFill="1" applyBorder="1" applyAlignment="1">
      <alignment horizontal="right"/>
    </xf>
    <xf numFmtId="199" fontId="9" fillId="0" borderId="0" xfId="0" applyNumberFormat="1" applyFont="1" applyFill="1" applyBorder="1" applyAlignment="1">
      <alignment horizontal="center"/>
    </xf>
    <xf numFmtId="199" fontId="9" fillId="0" borderId="14" xfId="38" applyNumberFormat="1" applyFont="1" applyFill="1" applyBorder="1" applyAlignment="1">
      <alignment horizontal="right"/>
    </xf>
    <xf numFmtId="199" fontId="9" fillId="0" borderId="16" xfId="38" applyNumberFormat="1" applyFont="1" applyFill="1" applyBorder="1" applyAlignment="1">
      <alignment horizontal="right"/>
    </xf>
    <xf numFmtId="199" fontId="9" fillId="0" borderId="16" xfId="0" applyNumberFormat="1" applyFont="1" applyFill="1" applyBorder="1" applyAlignment="1">
      <alignment horizontal="center"/>
    </xf>
    <xf numFmtId="199" fontId="9" fillId="0" borderId="16" xfId="0" applyNumberFormat="1" applyFont="1" applyBorder="1" applyAlignment="1">
      <alignment horizontal="center"/>
    </xf>
    <xf numFmtId="199" fontId="9" fillId="0" borderId="0" xfId="38" applyNumberFormat="1" applyFont="1" applyFill="1" applyAlignment="1">
      <alignment horizontal="center"/>
    </xf>
    <xf numFmtId="199" fontId="9" fillId="0" borderId="16" xfId="38" applyNumberFormat="1" applyFont="1" applyFill="1" applyBorder="1" applyAlignment="1">
      <alignment horizontal="center"/>
    </xf>
    <xf numFmtId="199" fontId="8" fillId="0" borderId="15" xfId="38" applyNumberFormat="1" applyFont="1" applyFill="1" applyBorder="1" applyAlignment="1">
      <alignment horizontal="center"/>
    </xf>
    <xf numFmtId="199" fontId="8" fillId="0" borderId="0" xfId="0" applyNumberFormat="1" applyFont="1" applyFill="1" applyBorder="1" applyAlignment="1">
      <alignment horizontal="right"/>
    </xf>
    <xf numFmtId="199" fontId="8" fillId="0" borderId="0" xfId="0" applyNumberFormat="1" applyFont="1" applyAlignment="1">
      <alignment horizontal="right"/>
    </xf>
    <xf numFmtId="223" fontId="9" fillId="0" borderId="0" xfId="0" applyNumberFormat="1" applyFont="1" applyAlignment="1">
      <alignment/>
    </xf>
    <xf numFmtId="222" fontId="10" fillId="0" borderId="0" xfId="38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222" fontId="9" fillId="0" borderId="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center"/>
    </xf>
    <xf numFmtId="222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222" fontId="9" fillId="0" borderId="0" xfId="38" applyNumberFormat="1" applyFont="1" applyAlignment="1">
      <alignment horizontal="center"/>
    </xf>
    <xf numFmtId="222" fontId="9" fillId="0" borderId="12" xfId="0" applyNumberFormat="1" applyFont="1" applyBorder="1" applyAlignment="1">
      <alignment horizontal="center"/>
    </xf>
    <xf numFmtId="222" fontId="9" fillId="0" borderId="16" xfId="38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22" fontId="8" fillId="0" borderId="15" xfId="38" applyNumberFormat="1" applyFont="1" applyBorder="1" applyAlignment="1">
      <alignment horizontal="center"/>
    </xf>
    <xf numFmtId="222" fontId="8" fillId="0" borderId="0" xfId="0" applyNumberFormat="1" applyFont="1" applyBorder="1" applyAlignment="1">
      <alignment horizontal="right"/>
    </xf>
    <xf numFmtId="222" fontId="8" fillId="0" borderId="0" xfId="38" applyNumberFormat="1" applyFont="1" applyBorder="1" applyAlignment="1">
      <alignment horizontal="right"/>
    </xf>
    <xf numFmtId="222" fontId="8" fillId="0" borderId="0" xfId="38" applyNumberFormat="1" applyFont="1" applyBorder="1" applyAlignment="1">
      <alignment horizontal="center"/>
    </xf>
    <xf numFmtId="0" fontId="16" fillId="0" borderId="0" xfId="0" applyFont="1" applyAlignment="1">
      <alignment/>
    </xf>
    <xf numFmtId="222" fontId="12" fillId="0" borderId="0" xfId="0" applyNumberFormat="1" applyFont="1" applyAlignment="1">
      <alignment horizontal="right"/>
    </xf>
    <xf numFmtId="199" fontId="9" fillId="0" borderId="16" xfId="38" applyNumberFormat="1" applyFont="1" applyBorder="1" applyAlignment="1">
      <alignment horizontal="right"/>
    </xf>
    <xf numFmtId="228" fontId="9" fillId="0" borderId="14" xfId="38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228" fontId="9" fillId="0" borderId="0" xfId="38" applyNumberFormat="1" applyFont="1" applyFill="1" applyBorder="1" applyAlignment="1">
      <alignment horizontal="center"/>
    </xf>
    <xf numFmtId="228" fontId="9" fillId="0" borderId="0" xfId="38" applyNumberFormat="1" applyFont="1" applyBorder="1" applyAlignment="1">
      <alignment horizontal="center"/>
    </xf>
    <xf numFmtId="222" fontId="9" fillId="0" borderId="14" xfId="38" applyNumberFormat="1" applyFont="1" applyFill="1" applyBorder="1" applyAlignment="1">
      <alignment/>
    </xf>
    <xf numFmtId="222" fontId="9" fillId="0" borderId="0" xfId="38" applyNumberFormat="1" applyFont="1" applyFill="1" applyBorder="1" applyAlignment="1">
      <alignment horizontal="center"/>
    </xf>
    <xf numFmtId="222" fontId="9" fillId="0" borderId="14" xfId="38" applyNumberFormat="1" applyFont="1" applyFill="1" applyBorder="1" applyAlignment="1">
      <alignment horizontal="center"/>
    </xf>
    <xf numFmtId="222" fontId="9" fillId="0" borderId="12" xfId="38" applyNumberFormat="1" applyFont="1" applyFill="1" applyBorder="1" applyAlignment="1">
      <alignment horizontal="center"/>
    </xf>
    <xf numFmtId="199" fontId="9" fillId="0" borderId="12" xfId="38" applyNumberFormat="1" applyFont="1" applyFill="1" applyBorder="1" applyAlignment="1">
      <alignment horizontal="right"/>
    </xf>
    <xf numFmtId="222" fontId="8" fillId="0" borderId="0" xfId="0" applyNumberFormat="1" applyFont="1" applyFill="1" applyAlignment="1">
      <alignment/>
    </xf>
    <xf numFmtId="222" fontId="8" fillId="0" borderId="0" xfId="0" applyNumberFormat="1" applyFont="1" applyFill="1" applyAlignment="1">
      <alignment horizontal="center"/>
    </xf>
    <xf numFmtId="223" fontId="9" fillId="0" borderId="0" xfId="0" applyNumberFormat="1" applyFont="1" applyFill="1" applyAlignment="1">
      <alignment/>
    </xf>
    <xf numFmtId="232" fontId="9" fillId="0" borderId="0" xfId="38" applyNumberFormat="1" applyFont="1" applyFill="1" applyAlignment="1">
      <alignment/>
    </xf>
    <xf numFmtId="43" fontId="10" fillId="0" borderId="0" xfId="38" applyFont="1" applyFill="1" applyAlignment="1">
      <alignment horizontal="center"/>
    </xf>
    <xf numFmtId="43" fontId="8" fillId="0" borderId="0" xfId="38" applyFont="1" applyFill="1" applyAlignment="1">
      <alignment horizontal="center"/>
    </xf>
    <xf numFmtId="2" fontId="9" fillId="0" borderId="0" xfId="0" applyNumberFormat="1" applyFont="1" applyFill="1" applyBorder="1" applyAlignment="1">
      <alignment/>
    </xf>
    <xf numFmtId="232" fontId="9" fillId="0" borderId="0" xfId="0" applyNumberFormat="1" applyFont="1" applyFill="1" applyAlignment="1">
      <alignment/>
    </xf>
    <xf numFmtId="222" fontId="12" fillId="0" borderId="0" xfId="0" applyNumberFormat="1" applyFont="1" applyFill="1" applyAlignment="1">
      <alignment horizontal="right"/>
    </xf>
    <xf numFmtId="229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222" fontId="8" fillId="0" borderId="0" xfId="38" applyNumberFormat="1" applyFont="1" applyFill="1" applyBorder="1" applyAlignment="1">
      <alignment/>
    </xf>
    <xf numFmtId="222" fontId="8" fillId="0" borderId="0" xfId="38" applyNumberFormat="1" applyFont="1" applyFill="1" applyBorder="1" applyAlignment="1">
      <alignment horizontal="center"/>
    </xf>
    <xf numFmtId="199" fontId="9" fillId="0" borderId="16" xfId="0" applyNumberFormat="1" applyFont="1" applyBorder="1" applyAlignment="1">
      <alignment/>
    </xf>
    <xf numFmtId="199" fontId="9" fillId="0" borderId="12" xfId="0" applyNumberFormat="1" applyFont="1" applyBorder="1" applyAlignment="1">
      <alignment/>
    </xf>
    <xf numFmtId="1" fontId="0" fillId="32" borderId="18" xfId="0" applyNumberFormat="1" applyFill="1" applyBorder="1" applyAlignment="1">
      <alignment/>
    </xf>
    <xf numFmtId="4" fontId="0" fillId="32" borderId="18" xfId="0" applyNumberFormat="1" applyFill="1" applyBorder="1" applyAlignment="1">
      <alignment/>
    </xf>
    <xf numFmtId="0" fontId="0" fillId="32" borderId="0" xfId="0" applyFill="1" applyAlignment="1">
      <alignment/>
    </xf>
    <xf numFmtId="1" fontId="0" fillId="32" borderId="17" xfId="0" applyNumberFormat="1" applyFill="1" applyBorder="1" applyAlignment="1">
      <alignment/>
    </xf>
    <xf numFmtId="4" fontId="0" fillId="32" borderId="17" xfId="0" applyNumberFormat="1" applyFill="1" applyBorder="1" applyAlignment="1">
      <alignment/>
    </xf>
    <xf numFmtId="4" fontId="0" fillId="32" borderId="11" xfId="0" applyNumberFormat="1" applyFill="1" applyBorder="1" applyAlignment="1">
      <alignment/>
    </xf>
    <xf numFmtId="1" fontId="0" fillId="32" borderId="18" xfId="0" applyNumberFormat="1" applyFont="1" applyFill="1" applyBorder="1" applyAlignment="1">
      <alignment/>
    </xf>
    <xf numFmtId="219" fontId="9" fillId="0" borderId="12" xfId="38" applyNumberFormat="1" applyFont="1" applyFill="1" applyBorder="1" applyAlignment="1">
      <alignment horizontal="center"/>
    </xf>
    <xf numFmtId="219" fontId="9" fillId="0" borderId="12" xfId="38" applyNumberFormat="1" applyFont="1" applyBorder="1" applyAlignment="1">
      <alignment horizontal="center"/>
    </xf>
    <xf numFmtId="223" fontId="9" fillId="0" borderId="0" xfId="0" applyNumberFormat="1" applyFont="1" applyFill="1" applyAlignment="1">
      <alignment horizontal="right"/>
    </xf>
    <xf numFmtId="222" fontId="9" fillId="0" borderId="16" xfId="38" applyNumberFormat="1" applyFont="1" applyFill="1" applyBorder="1" applyAlignment="1">
      <alignment horizontal="right"/>
    </xf>
    <xf numFmtId="4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43" fontId="10" fillId="0" borderId="0" xfId="38" applyFont="1" applyFill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3"/>
  <sheetViews>
    <sheetView zoomScalePageLayoutView="0" workbookViewId="0" topLeftCell="A1">
      <pane xSplit="3" ySplit="7" topLeftCell="L1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02" sqref="B102"/>
    </sheetView>
  </sheetViews>
  <sheetFormatPr defaultColWidth="9.140625" defaultRowHeight="21.75"/>
  <cols>
    <col min="1" max="1" width="8.00390625" style="1" customWidth="1"/>
    <col min="2" max="2" width="38.57421875" style="2" customWidth="1"/>
    <col min="3" max="3" width="14.00390625" style="3" customWidth="1"/>
    <col min="4" max="4" width="13.7109375" style="4" customWidth="1"/>
    <col min="5" max="5" width="15.7109375" style="3" customWidth="1"/>
    <col min="6" max="6" width="15.140625" style="3" customWidth="1"/>
    <col min="7" max="7" width="13.28125" style="3" customWidth="1"/>
    <col min="8" max="8" width="13.421875" style="3" customWidth="1"/>
    <col min="9" max="9" width="12.7109375" style="3" customWidth="1"/>
    <col min="10" max="10" width="15.00390625" style="3" customWidth="1"/>
    <col min="11" max="11" width="14.7109375" style="3" customWidth="1"/>
    <col min="12" max="12" width="13.57421875" style="3" customWidth="1"/>
    <col min="13" max="14" width="12.7109375" style="3" customWidth="1"/>
    <col min="15" max="16" width="13.421875" style="3" customWidth="1"/>
    <col min="17" max="18" width="13.7109375" style="3" customWidth="1"/>
    <col min="19" max="20" width="13.57421875" style="3" customWidth="1"/>
    <col min="21" max="16384" width="9.140625" style="5" customWidth="1"/>
  </cols>
  <sheetData>
    <row r="1" spans="1:20" ht="18.75">
      <c r="A1" s="317" t="s">
        <v>132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ht="18.75">
      <c r="A2" s="317" t="s">
        <v>191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8"/>
    </row>
    <row r="3" spans="1:20" ht="18.75">
      <c r="A3" s="319" t="s">
        <v>838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s="8" customFormat="1" ht="18.75">
      <c r="A4" s="6" t="s">
        <v>682</v>
      </c>
      <c r="B4" s="7" t="s">
        <v>192</v>
      </c>
      <c r="C4" s="321" t="s">
        <v>193</v>
      </c>
      <c r="D4" s="322"/>
      <c r="E4" s="316" t="s">
        <v>194</v>
      </c>
      <c r="F4" s="316"/>
      <c r="G4" s="316" t="s">
        <v>683</v>
      </c>
      <c r="H4" s="316"/>
      <c r="I4" s="316" t="s">
        <v>195</v>
      </c>
      <c r="J4" s="316"/>
      <c r="K4" s="316" t="s">
        <v>684</v>
      </c>
      <c r="L4" s="316"/>
      <c r="M4" s="316" t="s">
        <v>196</v>
      </c>
      <c r="N4" s="316"/>
      <c r="O4" s="316" t="s">
        <v>197</v>
      </c>
      <c r="P4" s="316"/>
      <c r="Q4" s="316" t="s">
        <v>31</v>
      </c>
      <c r="R4" s="316"/>
      <c r="S4" s="316" t="s">
        <v>6</v>
      </c>
      <c r="T4" s="316"/>
    </row>
    <row r="5" spans="1:20" s="13" customFormat="1" ht="18.75">
      <c r="A5" s="9"/>
      <c r="B5" s="10"/>
      <c r="C5" s="11" t="s">
        <v>198</v>
      </c>
      <c r="D5" s="12" t="s">
        <v>199</v>
      </c>
      <c r="E5" s="11" t="s">
        <v>198</v>
      </c>
      <c r="F5" s="11" t="s">
        <v>199</v>
      </c>
      <c r="G5" s="11" t="s">
        <v>198</v>
      </c>
      <c r="H5" s="11" t="s">
        <v>199</v>
      </c>
      <c r="I5" s="11" t="s">
        <v>198</v>
      </c>
      <c r="J5" s="11" t="s">
        <v>199</v>
      </c>
      <c r="K5" s="11" t="s">
        <v>198</v>
      </c>
      <c r="L5" s="11" t="s">
        <v>199</v>
      </c>
      <c r="M5" s="11" t="s">
        <v>198</v>
      </c>
      <c r="N5" s="11" t="s">
        <v>199</v>
      </c>
      <c r="O5" s="11" t="s">
        <v>198</v>
      </c>
      <c r="P5" s="11" t="s">
        <v>199</v>
      </c>
      <c r="Q5" s="11" t="s">
        <v>198</v>
      </c>
      <c r="R5" s="11" t="s">
        <v>199</v>
      </c>
      <c r="S5" s="11" t="s">
        <v>198</v>
      </c>
      <c r="T5" s="11" t="s">
        <v>199</v>
      </c>
    </row>
    <row r="6" spans="1:20" s="307" customFormat="1" ht="21.75">
      <c r="A6" s="308" t="s">
        <v>200</v>
      </c>
      <c r="B6" s="308" t="s">
        <v>50</v>
      </c>
      <c r="C6" s="309">
        <v>703474</v>
      </c>
      <c r="D6" s="309">
        <v>0</v>
      </c>
      <c r="E6" s="309">
        <v>1202088989.38</v>
      </c>
      <c r="F6" s="309">
        <f>1202366189.63+4950</f>
        <v>1202371139.63</v>
      </c>
      <c r="G6" s="309">
        <f>C6+E6-F6</f>
        <v>421323.75</v>
      </c>
      <c r="H6" s="309">
        <v>0</v>
      </c>
      <c r="I6" s="309"/>
      <c r="J6" s="309">
        <v>0</v>
      </c>
      <c r="K6" s="309">
        <f>+G6+I6</f>
        <v>421323.75</v>
      </c>
      <c r="L6" s="309">
        <v>0</v>
      </c>
      <c r="M6" s="309">
        <v>0</v>
      </c>
      <c r="N6" s="309">
        <v>0</v>
      </c>
      <c r="O6" s="309">
        <v>0</v>
      </c>
      <c r="P6" s="309">
        <v>0</v>
      </c>
      <c r="Q6" s="309">
        <v>0</v>
      </c>
      <c r="R6" s="309">
        <v>0</v>
      </c>
      <c r="S6" s="310">
        <f>K6</f>
        <v>421323.75</v>
      </c>
      <c r="T6" s="309">
        <v>0</v>
      </c>
    </row>
    <row r="7" spans="1:20" ht="21.75">
      <c r="A7" s="48" t="s">
        <v>201</v>
      </c>
      <c r="B7" s="48" t="s">
        <v>445</v>
      </c>
      <c r="C7" s="51">
        <v>116693593.93</v>
      </c>
      <c r="D7" s="51">
        <v>0</v>
      </c>
      <c r="E7" s="51">
        <v>501452894.56</v>
      </c>
      <c r="F7" s="51">
        <v>545723438.59</v>
      </c>
      <c r="G7" s="51">
        <v>72423049.9</v>
      </c>
      <c r="H7" s="51">
        <v>0</v>
      </c>
      <c r="I7" s="51">
        <v>2720</v>
      </c>
      <c r="J7" s="51">
        <v>6.8</v>
      </c>
      <c r="K7" s="51">
        <f>G7+I7-J7</f>
        <v>72425763.10000001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f>K7</f>
        <v>72425763.10000001</v>
      </c>
      <c r="T7" s="51">
        <v>0</v>
      </c>
    </row>
    <row r="8" spans="1:20" ht="21.75">
      <c r="A8" s="48" t="s">
        <v>202</v>
      </c>
      <c r="B8" s="48" t="s">
        <v>446</v>
      </c>
      <c r="C8" s="51">
        <v>204330.76</v>
      </c>
      <c r="D8" s="51">
        <v>0</v>
      </c>
      <c r="E8" s="51">
        <v>486449.92</v>
      </c>
      <c r="F8" s="51">
        <v>310000</v>
      </c>
      <c r="G8" s="51">
        <v>380780.68</v>
      </c>
      <c r="H8" s="51">
        <v>0</v>
      </c>
      <c r="I8" s="51">
        <v>2867.67</v>
      </c>
      <c r="J8" s="51">
        <v>0</v>
      </c>
      <c r="K8" s="51">
        <f>G8+I8</f>
        <v>383648.35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3">
        <f>K8</f>
        <v>383648.35</v>
      </c>
      <c r="T8" s="51">
        <v>0</v>
      </c>
    </row>
    <row r="9" spans="1:20" ht="21.75">
      <c r="A9" s="48" t="s">
        <v>447</v>
      </c>
      <c r="B9" s="48" t="s">
        <v>448</v>
      </c>
      <c r="C9" s="51">
        <v>1308.55</v>
      </c>
      <c r="D9" s="51">
        <v>0</v>
      </c>
      <c r="E9" s="51">
        <v>3.39</v>
      </c>
      <c r="F9" s="51">
        <v>0</v>
      </c>
      <c r="G9" s="51">
        <v>1311.94</v>
      </c>
      <c r="H9" s="51">
        <v>0</v>
      </c>
      <c r="I9" s="51">
        <v>3.14</v>
      </c>
      <c r="J9" s="51">
        <v>0</v>
      </c>
      <c r="K9" s="51">
        <v>1315.08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1315.08</v>
      </c>
      <c r="T9" s="51">
        <v>0</v>
      </c>
    </row>
    <row r="10" spans="1:20" ht="21.75">
      <c r="A10" s="48" t="s">
        <v>203</v>
      </c>
      <c r="B10" s="48" t="s">
        <v>449</v>
      </c>
      <c r="C10" s="51">
        <v>313623.9</v>
      </c>
      <c r="D10" s="51">
        <v>0</v>
      </c>
      <c r="E10" s="51">
        <v>11023014.81</v>
      </c>
      <c r="F10" s="51">
        <v>11330000</v>
      </c>
      <c r="G10" s="51">
        <v>6638.71</v>
      </c>
      <c r="H10" s="51">
        <v>0</v>
      </c>
      <c r="I10" s="51">
        <v>0</v>
      </c>
      <c r="J10" s="51">
        <v>0</v>
      </c>
      <c r="K10" s="51">
        <v>6638.71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6638.71</v>
      </c>
      <c r="T10" s="51">
        <v>0</v>
      </c>
    </row>
    <row r="11" spans="1:20" ht="21.75">
      <c r="A11" s="48" t="s">
        <v>204</v>
      </c>
      <c r="B11" s="48" t="s">
        <v>450</v>
      </c>
      <c r="C11" s="51">
        <v>893.65</v>
      </c>
      <c r="D11" s="51">
        <v>0</v>
      </c>
      <c r="E11" s="51">
        <v>2.31</v>
      </c>
      <c r="F11" s="51">
        <v>0</v>
      </c>
      <c r="G11" s="51">
        <v>895.96</v>
      </c>
      <c r="H11" s="51">
        <v>0</v>
      </c>
      <c r="I11" s="51">
        <v>2.15</v>
      </c>
      <c r="J11" s="51">
        <v>0</v>
      </c>
      <c r="K11" s="51">
        <v>898.11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898.11</v>
      </c>
      <c r="T11" s="51">
        <v>0</v>
      </c>
    </row>
    <row r="12" spans="1:20" ht="21.75">
      <c r="A12" s="48" t="s">
        <v>451</v>
      </c>
      <c r="B12" s="48" t="s">
        <v>452</v>
      </c>
      <c r="C12" s="51">
        <v>2501000</v>
      </c>
      <c r="D12" s="51">
        <v>0</v>
      </c>
      <c r="E12" s="51">
        <v>0</v>
      </c>
      <c r="F12" s="51">
        <v>1001000</v>
      </c>
      <c r="G12" s="51">
        <v>1500000</v>
      </c>
      <c r="H12" s="51">
        <v>0</v>
      </c>
      <c r="I12" s="51">
        <v>0</v>
      </c>
      <c r="J12" s="51">
        <v>0</v>
      </c>
      <c r="K12" s="51">
        <v>1500000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1500000</v>
      </c>
      <c r="T12" s="51">
        <v>0</v>
      </c>
    </row>
    <row r="13" spans="1:20" ht="21.75">
      <c r="A13" s="48" t="s">
        <v>453</v>
      </c>
      <c r="B13" s="48" t="s">
        <v>454</v>
      </c>
      <c r="C13" s="51">
        <v>24768.05</v>
      </c>
      <c r="D13" s="51">
        <v>0</v>
      </c>
      <c r="E13" s="51">
        <v>5980690.64</v>
      </c>
      <c r="F13" s="51">
        <v>6004500</v>
      </c>
      <c r="G13" s="51">
        <v>958.69</v>
      </c>
      <c r="H13" s="51">
        <v>0</v>
      </c>
      <c r="I13" s="51">
        <v>76675.42</v>
      </c>
      <c r="J13" s="51">
        <v>0</v>
      </c>
      <c r="K13" s="51">
        <f>G13+I13</f>
        <v>77634.11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f>K13</f>
        <v>77634.11</v>
      </c>
      <c r="T13" s="51">
        <v>0</v>
      </c>
    </row>
    <row r="14" spans="1:20" ht="21.75">
      <c r="A14" s="48" t="s">
        <v>205</v>
      </c>
      <c r="B14" s="48" t="s">
        <v>455</v>
      </c>
      <c r="C14" s="51">
        <v>947.25</v>
      </c>
      <c r="D14" s="51">
        <v>0</v>
      </c>
      <c r="E14" s="51">
        <v>2.45</v>
      </c>
      <c r="F14" s="51">
        <v>0</v>
      </c>
      <c r="G14" s="51">
        <v>949.7</v>
      </c>
      <c r="H14" s="51">
        <v>0</v>
      </c>
      <c r="I14" s="51">
        <v>2.28</v>
      </c>
      <c r="J14" s="51">
        <v>0</v>
      </c>
      <c r="K14" s="51">
        <v>951.98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951.98</v>
      </c>
      <c r="T14" s="51">
        <v>0</v>
      </c>
    </row>
    <row r="15" spans="1:20" ht="21.75">
      <c r="A15" s="48" t="s">
        <v>456</v>
      </c>
      <c r="B15" s="48" t="s">
        <v>457</v>
      </c>
      <c r="C15" s="51">
        <v>6196.8</v>
      </c>
      <c r="D15" s="51">
        <v>0</v>
      </c>
      <c r="E15" s="51">
        <v>10502135.22</v>
      </c>
      <c r="F15" s="51">
        <v>10506000</v>
      </c>
      <c r="G15" s="51">
        <v>2332.02</v>
      </c>
      <c r="H15" s="51">
        <v>0</v>
      </c>
      <c r="I15" s="51">
        <v>714.22</v>
      </c>
      <c r="J15" s="51">
        <v>0</v>
      </c>
      <c r="K15" s="51">
        <v>3046.24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3046.24</v>
      </c>
      <c r="T15" s="51">
        <v>0</v>
      </c>
    </row>
    <row r="16" spans="1:20" ht="21.75">
      <c r="A16" s="48" t="s">
        <v>458</v>
      </c>
      <c r="B16" s="48" t="s">
        <v>459</v>
      </c>
      <c r="C16" s="51">
        <v>515.06</v>
      </c>
      <c r="D16" s="51">
        <v>0</v>
      </c>
      <c r="E16" s="51">
        <v>1.33</v>
      </c>
      <c r="F16" s="51">
        <v>0</v>
      </c>
      <c r="G16" s="51">
        <v>516.39</v>
      </c>
      <c r="H16" s="51">
        <v>0</v>
      </c>
      <c r="I16" s="51">
        <v>1.24</v>
      </c>
      <c r="J16" s="51">
        <v>0</v>
      </c>
      <c r="K16" s="51">
        <v>517.63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517.63</v>
      </c>
      <c r="T16" s="51">
        <v>0</v>
      </c>
    </row>
    <row r="17" spans="1:20" ht="21.75">
      <c r="A17" s="48" t="s">
        <v>460</v>
      </c>
      <c r="B17" s="48" t="s">
        <v>461</v>
      </c>
      <c r="C17" s="51">
        <v>520.04</v>
      </c>
      <c r="D17" s="51">
        <v>0</v>
      </c>
      <c r="E17" s="51">
        <v>1.35</v>
      </c>
      <c r="F17" s="51">
        <v>0</v>
      </c>
      <c r="G17" s="51">
        <v>521.39</v>
      </c>
      <c r="H17" s="51">
        <v>0</v>
      </c>
      <c r="I17" s="51">
        <v>1.25</v>
      </c>
      <c r="J17" s="51">
        <v>0</v>
      </c>
      <c r="K17" s="51">
        <v>522.64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522.64</v>
      </c>
      <c r="T17" s="51">
        <v>0</v>
      </c>
    </row>
    <row r="18" spans="1:20" ht="21.75">
      <c r="A18" s="48" t="s">
        <v>462</v>
      </c>
      <c r="B18" s="48" t="s">
        <v>463</v>
      </c>
      <c r="C18" s="51">
        <v>100.05</v>
      </c>
      <c r="D18" s="51">
        <v>0</v>
      </c>
      <c r="E18" s="51">
        <v>0.2</v>
      </c>
      <c r="F18" s="51">
        <v>100.25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</row>
    <row r="19" spans="1:20" ht="21.75">
      <c r="A19" s="48" t="s">
        <v>754</v>
      </c>
      <c r="B19" s="48" t="s">
        <v>755</v>
      </c>
      <c r="C19" s="51">
        <v>0</v>
      </c>
      <c r="D19" s="51">
        <v>0</v>
      </c>
      <c r="E19" s="51">
        <v>60165.34</v>
      </c>
      <c r="F19" s="51">
        <v>60165.34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</row>
    <row r="20" spans="1:20" ht="21.75">
      <c r="A20" s="48" t="s">
        <v>756</v>
      </c>
      <c r="B20" s="48" t="s">
        <v>757</v>
      </c>
      <c r="C20" s="51">
        <v>0</v>
      </c>
      <c r="D20" s="51">
        <v>0</v>
      </c>
      <c r="E20" s="51">
        <v>70174.92</v>
      </c>
      <c r="F20" s="51">
        <v>70174.92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</row>
    <row r="21" spans="1:20" ht="21.75">
      <c r="A21" s="48" t="s">
        <v>758</v>
      </c>
      <c r="B21" s="48" t="s">
        <v>759</v>
      </c>
      <c r="C21" s="51">
        <v>0</v>
      </c>
      <c r="D21" s="51">
        <v>0</v>
      </c>
      <c r="E21" s="51">
        <v>250</v>
      </c>
      <c r="F21" s="51">
        <v>0</v>
      </c>
      <c r="G21" s="51">
        <v>250</v>
      </c>
      <c r="H21" s="51">
        <v>0</v>
      </c>
      <c r="I21" s="51">
        <v>0.02</v>
      </c>
      <c r="J21" s="51">
        <v>0</v>
      </c>
      <c r="K21" s="51">
        <f>G21+I21</f>
        <v>250.02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f>K21</f>
        <v>250.02</v>
      </c>
      <c r="T21" s="51">
        <v>0</v>
      </c>
    </row>
    <row r="22" spans="1:20" ht="21.75">
      <c r="A22" s="48" t="s">
        <v>207</v>
      </c>
      <c r="B22" s="48" t="s">
        <v>208</v>
      </c>
      <c r="C22" s="51">
        <v>2058162.24</v>
      </c>
      <c r="D22" s="51">
        <v>0</v>
      </c>
      <c r="E22" s="51">
        <v>90000000</v>
      </c>
      <c r="F22" s="51">
        <v>22000000</v>
      </c>
      <c r="G22" s="51">
        <v>70058162.24</v>
      </c>
      <c r="H22" s="51">
        <v>0</v>
      </c>
      <c r="I22" s="51">
        <v>1388897.55</v>
      </c>
      <c r="J22" s="51">
        <v>0</v>
      </c>
      <c r="K22" s="51">
        <v>71447059.79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71447059.79</v>
      </c>
      <c r="T22" s="51">
        <v>0</v>
      </c>
    </row>
    <row r="23" spans="1:20" ht="21.75">
      <c r="A23" s="48" t="s">
        <v>464</v>
      </c>
      <c r="B23" s="48" t="s">
        <v>465</v>
      </c>
      <c r="C23" s="51">
        <v>2015.26</v>
      </c>
      <c r="D23" s="51">
        <v>0</v>
      </c>
      <c r="E23" s="51">
        <v>0</v>
      </c>
      <c r="F23" s="51">
        <v>0</v>
      </c>
      <c r="G23" s="51">
        <v>2015.26</v>
      </c>
      <c r="H23" s="51">
        <v>0</v>
      </c>
      <c r="I23" s="51">
        <v>95.72</v>
      </c>
      <c r="J23" s="51">
        <v>0</v>
      </c>
      <c r="K23" s="51">
        <v>2110.98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2110.98</v>
      </c>
      <c r="T23" s="51">
        <v>0</v>
      </c>
    </row>
    <row r="24" spans="1:20" ht="21.75">
      <c r="A24" s="48" t="s">
        <v>466</v>
      </c>
      <c r="B24" s="48" t="s">
        <v>467</v>
      </c>
      <c r="C24" s="51">
        <v>66231.78</v>
      </c>
      <c r="D24" s="51">
        <v>0</v>
      </c>
      <c r="E24" s="51">
        <v>0</v>
      </c>
      <c r="F24" s="51">
        <v>66231.78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</row>
    <row r="25" spans="1:20" s="57" customFormat="1" ht="21.75">
      <c r="A25" s="55" t="s">
        <v>206</v>
      </c>
      <c r="B25" s="55" t="s">
        <v>468</v>
      </c>
      <c r="C25" s="56">
        <v>100057.51</v>
      </c>
      <c r="D25" s="56">
        <v>0</v>
      </c>
      <c r="E25" s="56">
        <v>1400.8</v>
      </c>
      <c r="F25" s="56">
        <v>0</v>
      </c>
      <c r="G25" s="56">
        <v>101458.31</v>
      </c>
      <c r="H25" s="56">
        <v>0</v>
      </c>
      <c r="I25" s="56">
        <v>0</v>
      </c>
      <c r="J25" s="56">
        <v>0</v>
      </c>
      <c r="K25" s="56">
        <v>101458.31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101458.31</v>
      </c>
      <c r="T25" s="56">
        <v>0</v>
      </c>
    </row>
    <row r="26" spans="1:20" ht="21.75">
      <c r="A26" s="54" t="s">
        <v>209</v>
      </c>
      <c r="B26" s="54" t="s">
        <v>210</v>
      </c>
      <c r="C26" s="53">
        <v>538123.27</v>
      </c>
      <c r="D26" s="53">
        <v>0</v>
      </c>
      <c r="E26" s="53">
        <v>113315031.09</v>
      </c>
      <c r="F26" s="53">
        <v>113006133.16</v>
      </c>
      <c r="G26" s="53">
        <v>847021.2</v>
      </c>
      <c r="H26" s="53">
        <v>0</v>
      </c>
      <c r="I26" s="53">
        <v>0</v>
      </c>
      <c r="J26" s="53">
        <v>0</v>
      </c>
      <c r="K26" s="53">
        <v>847021.2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847021.2</v>
      </c>
      <c r="T26" s="53">
        <v>0</v>
      </c>
    </row>
    <row r="27" spans="1:20" ht="21.75">
      <c r="A27" s="48" t="s">
        <v>760</v>
      </c>
      <c r="B27" s="48" t="s">
        <v>761</v>
      </c>
      <c r="C27" s="51">
        <v>0</v>
      </c>
      <c r="D27" s="51">
        <v>0</v>
      </c>
      <c r="E27" s="51">
        <v>228123.35</v>
      </c>
      <c r="F27" s="51">
        <v>226740.35</v>
      </c>
      <c r="G27" s="51">
        <v>1383</v>
      </c>
      <c r="H27" s="51">
        <v>0</v>
      </c>
      <c r="I27" s="51">
        <v>0</v>
      </c>
      <c r="J27" s="51">
        <v>1383</v>
      </c>
      <c r="K27" s="51">
        <f>G27-J27</f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</row>
    <row r="28" spans="1:20" ht="21.75">
      <c r="A28" s="48" t="s">
        <v>211</v>
      </c>
      <c r="B28" s="48" t="s">
        <v>53</v>
      </c>
      <c r="C28" s="51">
        <v>255673</v>
      </c>
      <c r="D28" s="51">
        <v>0</v>
      </c>
      <c r="E28" s="51">
        <v>3799188.7</v>
      </c>
      <c r="F28" s="51">
        <v>3745986.7</v>
      </c>
      <c r="G28" s="51">
        <v>308875</v>
      </c>
      <c r="H28" s="51">
        <v>0</v>
      </c>
      <c r="I28" s="51">
        <v>0</v>
      </c>
      <c r="J28" s="51">
        <v>0</v>
      </c>
      <c r="K28" s="51">
        <v>308875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308875</v>
      </c>
      <c r="T28" s="51">
        <v>0</v>
      </c>
    </row>
    <row r="29" spans="1:20" ht="21.75">
      <c r="A29" s="48" t="s">
        <v>469</v>
      </c>
      <c r="B29" s="48" t="s">
        <v>212</v>
      </c>
      <c r="C29" s="51">
        <v>589340.25</v>
      </c>
      <c r="D29" s="51">
        <v>0</v>
      </c>
      <c r="E29" s="51">
        <v>5473243.35</v>
      </c>
      <c r="F29" s="51">
        <v>5371362.54</v>
      </c>
      <c r="G29" s="51">
        <v>691221.06</v>
      </c>
      <c r="H29" s="51">
        <v>0</v>
      </c>
      <c r="I29" s="51">
        <v>0</v>
      </c>
      <c r="J29" s="51">
        <v>0</v>
      </c>
      <c r="K29" s="51">
        <v>691221.06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691221.06</v>
      </c>
      <c r="T29" s="51">
        <v>0</v>
      </c>
    </row>
    <row r="30" spans="1:20" ht="21.75">
      <c r="A30" s="48" t="s">
        <v>470</v>
      </c>
      <c r="B30" s="48" t="s">
        <v>148</v>
      </c>
      <c r="C30" s="51">
        <v>0</v>
      </c>
      <c r="D30" s="51">
        <v>0</v>
      </c>
      <c r="E30" s="51">
        <f>6016871.75+4950</f>
        <v>6021821.75</v>
      </c>
      <c r="F30" s="51">
        <v>5941936.75</v>
      </c>
      <c r="G30" s="51">
        <f>E30-F30</f>
        <v>79885</v>
      </c>
      <c r="H30" s="51">
        <v>0</v>
      </c>
      <c r="I30" s="51"/>
      <c r="J30" s="51">
        <v>79885</v>
      </c>
      <c r="K30" s="51">
        <f>G30-J30</f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</row>
    <row r="31" spans="1:20" ht="21.75">
      <c r="A31" s="48" t="s">
        <v>471</v>
      </c>
      <c r="B31" s="48" t="s">
        <v>347</v>
      </c>
      <c r="C31" s="51">
        <v>0</v>
      </c>
      <c r="D31" s="51">
        <v>0</v>
      </c>
      <c r="E31" s="51">
        <v>3058045.65</v>
      </c>
      <c r="F31" s="51">
        <v>3055325.65</v>
      </c>
      <c r="G31" s="51">
        <v>2720</v>
      </c>
      <c r="H31" s="51">
        <v>0</v>
      </c>
      <c r="I31" s="51"/>
      <c r="J31" s="51">
        <v>2720</v>
      </c>
      <c r="K31" s="51">
        <f>G31-J31</f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</row>
    <row r="32" spans="1:20" ht="21.75">
      <c r="A32" s="48" t="s">
        <v>213</v>
      </c>
      <c r="B32" s="48" t="s">
        <v>214</v>
      </c>
      <c r="C32" s="51">
        <v>31518898</v>
      </c>
      <c r="D32" s="51">
        <v>0</v>
      </c>
      <c r="E32" s="51">
        <v>26681000</v>
      </c>
      <c r="F32" s="51">
        <v>31880322</v>
      </c>
      <c r="G32" s="51">
        <v>26319576</v>
      </c>
      <c r="H32" s="51">
        <v>0</v>
      </c>
      <c r="I32" s="51">
        <v>0</v>
      </c>
      <c r="J32" s="51">
        <v>0</v>
      </c>
      <c r="K32" s="51">
        <v>26319576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26319576</v>
      </c>
      <c r="T32" s="51">
        <v>0</v>
      </c>
    </row>
    <row r="33" spans="1:20" ht="21.75">
      <c r="A33" s="48" t="s">
        <v>674</v>
      </c>
      <c r="B33" s="48" t="s">
        <v>675</v>
      </c>
      <c r="C33" s="51">
        <v>0</v>
      </c>
      <c r="D33" s="51">
        <v>1047407.8</v>
      </c>
      <c r="E33" s="51"/>
      <c r="F33" s="51"/>
      <c r="G33" s="51">
        <v>0</v>
      </c>
      <c r="H33" s="51">
        <f>D33</f>
        <v>1047407.8</v>
      </c>
      <c r="I33" s="51"/>
      <c r="J33" s="51">
        <v>1020170.35</v>
      </c>
      <c r="K33" s="51">
        <v>0</v>
      </c>
      <c r="L33" s="51">
        <f>H33+J33-I33</f>
        <v>2067578.15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>L33</f>
        <v>2067578.15</v>
      </c>
    </row>
    <row r="34" spans="1:20" ht="21.75">
      <c r="A34" s="48" t="s">
        <v>215</v>
      </c>
      <c r="B34" s="48" t="s">
        <v>216</v>
      </c>
      <c r="C34" s="51">
        <v>25429219</v>
      </c>
      <c r="D34" s="51">
        <v>0</v>
      </c>
      <c r="E34" s="51">
        <v>29700800</v>
      </c>
      <c r="F34" s="51">
        <v>26638087</v>
      </c>
      <c r="G34" s="51">
        <v>28491932</v>
      </c>
      <c r="H34" s="51">
        <v>0</v>
      </c>
      <c r="I34" s="51">
        <v>0</v>
      </c>
      <c r="J34" s="51">
        <v>0</v>
      </c>
      <c r="K34" s="51">
        <v>28491932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28491932</v>
      </c>
      <c r="T34" s="51">
        <v>0</v>
      </c>
    </row>
    <row r="35" spans="1:20" ht="21.75">
      <c r="A35" s="48" t="s">
        <v>217</v>
      </c>
      <c r="B35" s="48" t="s">
        <v>218</v>
      </c>
      <c r="C35" s="51">
        <v>43318918</v>
      </c>
      <c r="D35" s="51">
        <v>0</v>
      </c>
      <c r="E35" s="51">
        <v>18543000</v>
      </c>
      <c r="F35" s="51">
        <v>20482583</v>
      </c>
      <c r="G35" s="51">
        <v>41379335</v>
      </c>
      <c r="H35" s="51">
        <v>0</v>
      </c>
      <c r="I35" s="51">
        <v>0</v>
      </c>
      <c r="J35" s="51">
        <v>0</v>
      </c>
      <c r="K35" s="51">
        <v>41379335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41379335</v>
      </c>
      <c r="T35" s="51">
        <v>0</v>
      </c>
    </row>
    <row r="36" spans="1:20" ht="21.75">
      <c r="A36" s="48" t="s">
        <v>472</v>
      </c>
      <c r="B36" s="48" t="s">
        <v>219</v>
      </c>
      <c r="C36" s="51">
        <v>0</v>
      </c>
      <c r="D36" s="51">
        <v>0</v>
      </c>
      <c r="E36" s="51">
        <v>0</v>
      </c>
      <c r="F36" s="51"/>
      <c r="G36" s="51"/>
      <c r="H36" s="51">
        <v>0</v>
      </c>
      <c r="I36" s="51"/>
      <c r="J36" s="51">
        <v>918283</v>
      </c>
      <c r="K36" s="51">
        <f>I36</f>
        <v>0</v>
      </c>
      <c r="L36" s="51">
        <v>918283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918283</v>
      </c>
    </row>
    <row r="37" spans="1:20" ht="21.75">
      <c r="A37" s="48" t="s">
        <v>220</v>
      </c>
      <c r="B37" s="48" t="s">
        <v>221</v>
      </c>
      <c r="C37" s="51">
        <v>27533239</v>
      </c>
      <c r="D37" s="51">
        <v>0</v>
      </c>
      <c r="E37" s="51">
        <v>9360000</v>
      </c>
      <c r="F37" s="51">
        <v>11825128</v>
      </c>
      <c r="G37" s="51">
        <v>25068111</v>
      </c>
      <c r="H37" s="51">
        <v>0</v>
      </c>
      <c r="I37" s="51">
        <v>0</v>
      </c>
      <c r="J37" s="51">
        <v>0</v>
      </c>
      <c r="K37" s="51">
        <v>25068111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25068111</v>
      </c>
      <c r="T37" s="51">
        <v>0</v>
      </c>
    </row>
    <row r="38" spans="1:20" ht="21.75">
      <c r="A38" s="48" t="s">
        <v>473</v>
      </c>
      <c r="B38" s="48" t="s">
        <v>222</v>
      </c>
      <c r="C38" s="51">
        <v>69000021</v>
      </c>
      <c r="D38" s="51">
        <v>0</v>
      </c>
      <c r="E38" s="51">
        <v>31909000</v>
      </c>
      <c r="F38" s="51">
        <v>17027499</v>
      </c>
      <c r="G38" s="51">
        <v>83881522</v>
      </c>
      <c r="H38" s="51">
        <v>0</v>
      </c>
      <c r="I38" s="51">
        <v>0</v>
      </c>
      <c r="J38" s="51">
        <v>0</v>
      </c>
      <c r="K38" s="51">
        <v>83881522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83881522</v>
      </c>
      <c r="T38" s="51">
        <v>0</v>
      </c>
    </row>
    <row r="39" spans="1:20" ht="21.75">
      <c r="A39" s="48" t="s">
        <v>474</v>
      </c>
      <c r="B39" s="48" t="s">
        <v>223</v>
      </c>
      <c r="C39" s="51">
        <v>1048500</v>
      </c>
      <c r="D39" s="51">
        <v>0</v>
      </c>
      <c r="E39" s="51">
        <v>0</v>
      </c>
      <c r="F39" s="51">
        <v>0</v>
      </c>
      <c r="G39" s="51">
        <v>1048500</v>
      </c>
      <c r="H39" s="51">
        <v>0</v>
      </c>
      <c r="I39" s="51">
        <v>0</v>
      </c>
      <c r="J39" s="51">
        <v>0</v>
      </c>
      <c r="K39" s="51">
        <v>1048500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1048500</v>
      </c>
      <c r="T39" s="51">
        <v>0</v>
      </c>
    </row>
    <row r="40" spans="1:20" ht="21.75">
      <c r="A40" s="48" t="s">
        <v>475</v>
      </c>
      <c r="B40" s="48" t="s">
        <v>224</v>
      </c>
      <c r="C40" s="51">
        <v>53366992</v>
      </c>
      <c r="D40" s="51">
        <v>0</v>
      </c>
      <c r="E40" s="51">
        <v>22188000</v>
      </c>
      <c r="F40" s="51">
        <v>12926196</v>
      </c>
      <c r="G40" s="51">
        <v>62628796</v>
      </c>
      <c r="H40" s="51">
        <v>0</v>
      </c>
      <c r="I40" s="51">
        <v>0</v>
      </c>
      <c r="J40" s="51">
        <v>0</v>
      </c>
      <c r="K40" s="51">
        <v>62628796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62628796</v>
      </c>
      <c r="T40" s="51">
        <v>0</v>
      </c>
    </row>
    <row r="41" spans="1:20" ht="21.75">
      <c r="A41" s="48" t="s">
        <v>225</v>
      </c>
      <c r="B41" s="48" t="s">
        <v>226</v>
      </c>
      <c r="C41" s="51">
        <v>50000</v>
      </c>
      <c r="D41" s="51">
        <v>0</v>
      </c>
      <c r="E41" s="51">
        <v>205000</v>
      </c>
      <c r="F41" s="51">
        <v>205000</v>
      </c>
      <c r="G41" s="51">
        <v>50000</v>
      </c>
      <c r="H41" s="51">
        <v>0</v>
      </c>
      <c r="I41" s="51">
        <v>0</v>
      </c>
      <c r="J41" s="51">
        <v>0</v>
      </c>
      <c r="K41" s="51">
        <v>50000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50000</v>
      </c>
      <c r="T41" s="51">
        <v>0</v>
      </c>
    </row>
    <row r="42" spans="1:20" ht="21.75">
      <c r="A42" s="48" t="s">
        <v>476</v>
      </c>
      <c r="B42" s="48" t="s">
        <v>227</v>
      </c>
      <c r="C42" s="51">
        <v>57817.11</v>
      </c>
      <c r="D42" s="51">
        <v>0</v>
      </c>
      <c r="E42" s="51">
        <v>1125838.19</v>
      </c>
      <c r="F42" s="51">
        <v>1132481.06</v>
      </c>
      <c r="G42" s="51">
        <v>51174.24</v>
      </c>
      <c r="H42" s="51">
        <v>0</v>
      </c>
      <c r="I42" s="51">
        <v>0</v>
      </c>
      <c r="J42" s="51">
        <v>0</v>
      </c>
      <c r="K42" s="51">
        <v>51174.24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51174.24</v>
      </c>
      <c r="T42" s="51">
        <v>0</v>
      </c>
    </row>
    <row r="43" spans="1:20" ht="21.75">
      <c r="A43" s="48" t="s">
        <v>477</v>
      </c>
      <c r="B43" s="48" t="s">
        <v>228</v>
      </c>
      <c r="C43" s="51">
        <v>0</v>
      </c>
      <c r="D43" s="51">
        <v>0</v>
      </c>
      <c r="E43" s="51">
        <v>918283</v>
      </c>
      <c r="F43" s="51">
        <v>0</v>
      </c>
      <c r="G43" s="51">
        <f>E43</f>
        <v>918283</v>
      </c>
      <c r="H43" s="51">
        <v>0</v>
      </c>
      <c r="I43" s="51"/>
      <c r="J43" s="51">
        <v>0</v>
      </c>
      <c r="K43" s="51">
        <v>918283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918283</v>
      </c>
      <c r="T43" s="51">
        <v>0</v>
      </c>
    </row>
    <row r="44" spans="1:20" ht="21.75">
      <c r="A44" s="48" t="s">
        <v>478</v>
      </c>
      <c r="B44" s="48" t="s">
        <v>479</v>
      </c>
      <c r="C44" s="51">
        <v>10000</v>
      </c>
      <c r="D44" s="51">
        <v>0</v>
      </c>
      <c r="E44" s="51">
        <v>0</v>
      </c>
      <c r="F44" s="51">
        <v>0</v>
      </c>
      <c r="G44" s="51">
        <v>10000</v>
      </c>
      <c r="H44" s="51">
        <v>0</v>
      </c>
      <c r="I44" s="51">
        <v>0</v>
      </c>
      <c r="J44" s="51">
        <v>0</v>
      </c>
      <c r="K44" s="51">
        <v>10000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10000</v>
      </c>
      <c r="T44" s="51">
        <v>0</v>
      </c>
    </row>
    <row r="45" spans="1:20" ht="21.75">
      <c r="A45" s="48" t="s">
        <v>762</v>
      </c>
      <c r="B45" s="48" t="s">
        <v>763</v>
      </c>
      <c r="C45" s="51">
        <v>0</v>
      </c>
      <c r="D45" s="51">
        <v>0</v>
      </c>
      <c r="E45" s="51">
        <v>480</v>
      </c>
      <c r="F45" s="51">
        <v>480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</row>
    <row r="46" spans="1:20" ht="21.75">
      <c r="A46" s="48" t="s">
        <v>229</v>
      </c>
      <c r="B46" s="48" t="s">
        <v>56</v>
      </c>
      <c r="C46" s="51">
        <v>8863358.94</v>
      </c>
      <c r="D46" s="51">
        <v>0</v>
      </c>
      <c r="E46" s="51">
        <v>0</v>
      </c>
      <c r="F46" s="51">
        <v>2929866.58</v>
      </c>
      <c r="G46" s="51">
        <v>5933492.36</v>
      </c>
      <c r="H46" s="51">
        <v>0</v>
      </c>
      <c r="I46" s="51">
        <v>3955246.05</v>
      </c>
      <c r="J46" s="51">
        <v>0</v>
      </c>
      <c r="K46" s="51">
        <v>9888738.41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9888738.41</v>
      </c>
      <c r="T46" s="51">
        <v>0</v>
      </c>
    </row>
    <row r="47" spans="1:20" ht="21.75">
      <c r="A47" s="48" t="s">
        <v>230</v>
      </c>
      <c r="B47" s="48" t="s">
        <v>480</v>
      </c>
      <c r="C47" s="51">
        <v>0</v>
      </c>
      <c r="D47" s="51">
        <v>603049.56</v>
      </c>
      <c r="E47" s="51">
        <v>0</v>
      </c>
      <c r="F47" s="51">
        <v>0</v>
      </c>
      <c r="G47" s="51">
        <v>0</v>
      </c>
      <c r="H47" s="51">
        <v>603049.56</v>
      </c>
      <c r="I47" s="51">
        <v>0</v>
      </c>
      <c r="J47" s="51">
        <f>561711.83+0.01</f>
        <v>561711.84</v>
      </c>
      <c r="K47" s="51">
        <v>0</v>
      </c>
      <c r="L47" s="51">
        <f>H47+J47</f>
        <v>1164761.4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>L47</f>
        <v>1164761.4</v>
      </c>
    </row>
    <row r="48" spans="1:20" s="57" customFormat="1" ht="21.75">
      <c r="A48" s="55" t="s">
        <v>481</v>
      </c>
      <c r="B48" s="55" t="s">
        <v>860</v>
      </c>
      <c r="C48" s="56">
        <v>1299318.31</v>
      </c>
      <c r="D48" s="56">
        <v>0</v>
      </c>
      <c r="E48" s="56">
        <v>0</v>
      </c>
      <c r="F48" s="56">
        <v>0</v>
      </c>
      <c r="G48" s="56">
        <f>C48</f>
        <v>1299318.31</v>
      </c>
      <c r="H48" s="56">
        <v>0</v>
      </c>
      <c r="I48" s="56">
        <v>0</v>
      </c>
      <c r="J48" s="56"/>
      <c r="K48" s="56">
        <f>G48</f>
        <v>1299318.31</v>
      </c>
      <c r="L48" s="56">
        <v>0</v>
      </c>
      <c r="M48" s="56">
        <v>0</v>
      </c>
      <c r="N48" s="56">
        <v>0</v>
      </c>
      <c r="O48" s="56">
        <f>K48</f>
        <v>1299318.31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</row>
    <row r="49" spans="1:20" ht="21.75">
      <c r="A49" s="54" t="s">
        <v>482</v>
      </c>
      <c r="B49" s="54" t="s">
        <v>861</v>
      </c>
      <c r="C49" s="53">
        <v>11591.39</v>
      </c>
      <c r="D49" s="53">
        <v>0</v>
      </c>
      <c r="E49" s="53">
        <v>0</v>
      </c>
      <c r="F49" s="53">
        <v>0</v>
      </c>
      <c r="G49" s="50">
        <f>C49</f>
        <v>11591.39</v>
      </c>
      <c r="H49" s="53">
        <v>0</v>
      </c>
      <c r="I49" s="53">
        <v>0</v>
      </c>
      <c r="J49" s="53">
        <v>0</v>
      </c>
      <c r="K49" s="50">
        <f>G49</f>
        <v>11591.39</v>
      </c>
      <c r="L49" s="53">
        <v>0</v>
      </c>
      <c r="M49" s="53">
        <v>11591.39</v>
      </c>
      <c r="N49" s="53">
        <v>0</v>
      </c>
      <c r="O49" s="53"/>
      <c r="P49" s="53">
        <v>0</v>
      </c>
      <c r="Q49" s="53">
        <v>0</v>
      </c>
      <c r="R49" s="53">
        <v>0</v>
      </c>
      <c r="S49" s="53">
        <v>0</v>
      </c>
      <c r="T49" s="53">
        <v>0</v>
      </c>
    </row>
    <row r="50" spans="1:20" ht="21.75">
      <c r="A50" s="48" t="s">
        <v>231</v>
      </c>
      <c r="B50" s="48" t="s">
        <v>5</v>
      </c>
      <c r="C50" s="51">
        <v>75065.17</v>
      </c>
      <c r="D50" s="51">
        <v>0</v>
      </c>
      <c r="E50" s="51">
        <v>98497</v>
      </c>
      <c r="F50" s="51">
        <v>2700</v>
      </c>
      <c r="G50" s="53">
        <v>170862.17</v>
      </c>
      <c r="H50" s="51">
        <v>0</v>
      </c>
      <c r="I50" s="51">
        <v>0</v>
      </c>
      <c r="J50" s="51">
        <v>47557.15</v>
      </c>
      <c r="K50" s="53">
        <v>123305.02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123305.02</v>
      </c>
      <c r="T50" s="51">
        <v>0</v>
      </c>
    </row>
    <row r="51" spans="1:20" ht="21.75">
      <c r="A51" s="48" t="s">
        <v>484</v>
      </c>
      <c r="B51" s="48" t="s">
        <v>485</v>
      </c>
      <c r="C51" s="51">
        <v>6107.89</v>
      </c>
      <c r="D51" s="51">
        <v>0</v>
      </c>
      <c r="E51" s="51">
        <v>64461.19</v>
      </c>
      <c r="F51" s="51">
        <v>0</v>
      </c>
      <c r="G51" s="51">
        <v>70569.08</v>
      </c>
      <c r="H51" s="51">
        <v>0</v>
      </c>
      <c r="I51" s="51"/>
      <c r="J51" s="51">
        <v>58632.76</v>
      </c>
      <c r="K51" s="51">
        <f>G51-J51</f>
        <v>11936.32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f>K51</f>
        <v>11936.32</v>
      </c>
      <c r="T51" s="51">
        <v>0</v>
      </c>
    </row>
    <row r="52" spans="1:20" ht="21.75">
      <c r="A52" s="48" t="s">
        <v>232</v>
      </c>
      <c r="B52" s="48" t="s">
        <v>140</v>
      </c>
      <c r="C52" s="51">
        <v>0</v>
      </c>
      <c r="D52" s="51">
        <v>33572.18</v>
      </c>
      <c r="E52" s="51">
        <v>135497.03</v>
      </c>
      <c r="F52" s="51">
        <v>117389.86</v>
      </c>
      <c r="G52" s="51">
        <v>0</v>
      </c>
      <c r="H52" s="51">
        <v>15465.01</v>
      </c>
      <c r="I52" s="51">
        <v>0</v>
      </c>
      <c r="J52" s="51">
        <v>0</v>
      </c>
      <c r="K52" s="51">
        <v>0</v>
      </c>
      <c r="L52" s="51">
        <v>15465.01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15465.01</v>
      </c>
    </row>
    <row r="53" spans="1:20" ht="21.75">
      <c r="A53" s="48" t="s">
        <v>486</v>
      </c>
      <c r="B53" s="48" t="s">
        <v>487</v>
      </c>
      <c r="C53" s="51">
        <v>0</v>
      </c>
      <c r="D53" s="51">
        <v>66408.64</v>
      </c>
      <c r="E53" s="51">
        <v>304175.37</v>
      </c>
      <c r="F53" s="51">
        <v>293791.32</v>
      </c>
      <c r="G53" s="51">
        <v>0</v>
      </c>
      <c r="H53" s="51">
        <v>56024.59</v>
      </c>
      <c r="I53" s="51">
        <v>0</v>
      </c>
      <c r="J53" s="51">
        <v>0</v>
      </c>
      <c r="K53" s="51">
        <v>0</v>
      </c>
      <c r="L53" s="51">
        <v>56024.59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56024.59</v>
      </c>
    </row>
    <row r="54" spans="1:20" ht="21.75">
      <c r="A54" s="48" t="s">
        <v>488</v>
      </c>
      <c r="B54" s="48" t="s">
        <v>489</v>
      </c>
      <c r="C54" s="51">
        <v>0</v>
      </c>
      <c r="D54" s="51">
        <v>2836.64</v>
      </c>
      <c r="E54" s="51">
        <v>19165.45</v>
      </c>
      <c r="F54" s="51">
        <v>17706.82</v>
      </c>
      <c r="G54" s="51">
        <v>0</v>
      </c>
      <c r="H54" s="51">
        <v>1378.01</v>
      </c>
      <c r="I54" s="51">
        <v>0</v>
      </c>
      <c r="J54" s="51">
        <v>0</v>
      </c>
      <c r="K54" s="51">
        <v>0</v>
      </c>
      <c r="L54" s="51">
        <v>1378.01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1378.01</v>
      </c>
    </row>
    <row r="55" spans="1:20" ht="21.75">
      <c r="A55" s="48" t="s">
        <v>233</v>
      </c>
      <c r="B55" s="48" t="s">
        <v>63</v>
      </c>
      <c r="C55" s="51">
        <v>700724</v>
      </c>
      <c r="D55" s="51">
        <v>0</v>
      </c>
      <c r="E55" s="51">
        <v>0</v>
      </c>
      <c r="F55" s="51">
        <v>511727.27</v>
      </c>
      <c r="G55" s="51">
        <v>188996.73</v>
      </c>
      <c r="H55" s="51">
        <v>0</v>
      </c>
      <c r="I55" s="51">
        <v>307886.18</v>
      </c>
      <c r="J55" s="51">
        <v>0</v>
      </c>
      <c r="K55" s="51">
        <v>496882.91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496882.91</v>
      </c>
      <c r="T55" s="51">
        <v>0</v>
      </c>
    </row>
    <row r="56" spans="1:20" ht="21.75">
      <c r="A56" s="48" t="s">
        <v>234</v>
      </c>
      <c r="B56" s="48" t="s">
        <v>490</v>
      </c>
      <c r="C56" s="51">
        <v>0</v>
      </c>
      <c r="D56" s="51">
        <v>700724</v>
      </c>
      <c r="E56" s="51">
        <v>0</v>
      </c>
      <c r="F56" s="51">
        <v>0</v>
      </c>
      <c r="G56" s="51">
        <v>0</v>
      </c>
      <c r="H56" s="51">
        <v>700724</v>
      </c>
      <c r="I56" s="51">
        <v>203841.09</v>
      </c>
      <c r="J56" s="51">
        <v>0</v>
      </c>
      <c r="K56" s="51">
        <v>0</v>
      </c>
      <c r="L56" s="51">
        <v>496882.91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496882.91</v>
      </c>
    </row>
    <row r="57" spans="1:20" ht="21.75">
      <c r="A57" s="48" t="s">
        <v>235</v>
      </c>
      <c r="B57" s="48" t="s">
        <v>126</v>
      </c>
      <c r="C57" s="51">
        <v>0</v>
      </c>
      <c r="D57" s="51">
        <v>0</v>
      </c>
      <c r="E57" s="51">
        <v>675413.3</v>
      </c>
      <c r="F57" s="51">
        <v>0</v>
      </c>
      <c r="G57" s="51">
        <v>675413.3</v>
      </c>
      <c r="H57" s="51">
        <v>0</v>
      </c>
      <c r="I57" s="51">
        <v>61323.69</v>
      </c>
      <c r="J57" s="51">
        <v>0</v>
      </c>
      <c r="K57" s="51">
        <v>736736.99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736736.99</v>
      </c>
      <c r="T57" s="51">
        <v>0</v>
      </c>
    </row>
    <row r="58" spans="1:20" ht="21.75">
      <c r="A58" s="48" t="s">
        <v>764</v>
      </c>
      <c r="B58" s="48" t="s">
        <v>765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736736.99</v>
      </c>
      <c r="K58" s="51">
        <v>0</v>
      </c>
      <c r="L58" s="51">
        <f>J58</f>
        <v>736736.99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>L58</f>
        <v>736736.99</v>
      </c>
    </row>
    <row r="59" spans="1:20" ht="21.75">
      <c r="A59" s="48" t="s">
        <v>236</v>
      </c>
      <c r="B59" s="48" t="s">
        <v>237</v>
      </c>
      <c r="C59" s="51">
        <v>0</v>
      </c>
      <c r="D59" s="51">
        <v>0</v>
      </c>
      <c r="E59" s="51">
        <v>1191131.56</v>
      </c>
      <c r="F59" s="51">
        <v>1191131.56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</row>
    <row r="60" spans="1:20" ht="21.75">
      <c r="A60" s="48" t="s">
        <v>491</v>
      </c>
      <c r="B60" s="48" t="s">
        <v>492</v>
      </c>
      <c r="C60" s="51">
        <v>0</v>
      </c>
      <c r="D60" s="51">
        <v>0</v>
      </c>
      <c r="E60" s="51">
        <v>7510048.67</v>
      </c>
      <c r="F60" s="51">
        <v>7510048.67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</row>
    <row r="61" spans="1:20" ht="21.75">
      <c r="A61" s="48" t="s">
        <v>766</v>
      </c>
      <c r="B61" s="48" t="s">
        <v>767</v>
      </c>
      <c r="C61" s="51">
        <v>0</v>
      </c>
      <c r="D61" s="51">
        <v>0</v>
      </c>
      <c r="E61" s="51">
        <v>4298</v>
      </c>
      <c r="F61" s="51">
        <v>4298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</row>
    <row r="62" spans="1:20" ht="21.75">
      <c r="A62" s="48" t="s">
        <v>493</v>
      </c>
      <c r="B62" s="48" t="s">
        <v>348</v>
      </c>
      <c r="C62" s="51">
        <v>0</v>
      </c>
      <c r="D62" s="51">
        <v>0</v>
      </c>
      <c r="E62" s="51">
        <v>8126.76</v>
      </c>
      <c r="F62" s="51">
        <v>8126.76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</row>
    <row r="63" spans="1:20" ht="21.75">
      <c r="A63" s="48" t="s">
        <v>494</v>
      </c>
      <c r="B63" s="48" t="s">
        <v>349</v>
      </c>
      <c r="C63" s="51">
        <v>0</v>
      </c>
      <c r="D63" s="51">
        <v>0</v>
      </c>
      <c r="E63" s="51">
        <v>8518.61</v>
      </c>
      <c r="F63" s="51">
        <v>8518.61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</row>
    <row r="64" spans="1:20" ht="21.75">
      <c r="A64" s="48" t="s">
        <v>495</v>
      </c>
      <c r="B64" s="48" t="s">
        <v>410</v>
      </c>
      <c r="C64" s="51">
        <v>0</v>
      </c>
      <c r="D64" s="51">
        <v>0</v>
      </c>
      <c r="E64" s="51">
        <v>17.01</v>
      </c>
      <c r="F64" s="51">
        <v>17.01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</row>
    <row r="65" spans="1:20" ht="21.75">
      <c r="A65" s="48" t="s">
        <v>496</v>
      </c>
      <c r="B65" s="48" t="s">
        <v>497</v>
      </c>
      <c r="C65" s="51">
        <v>0</v>
      </c>
      <c r="D65" s="51">
        <v>0</v>
      </c>
      <c r="E65" s="51">
        <v>4227.11</v>
      </c>
      <c r="F65" s="51">
        <v>4227.11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</row>
    <row r="66" spans="1:20" ht="21.75">
      <c r="A66" s="48" t="s">
        <v>768</v>
      </c>
      <c r="B66" s="48" t="s">
        <v>769</v>
      </c>
      <c r="C66" s="51">
        <v>0</v>
      </c>
      <c r="D66" s="51">
        <v>0</v>
      </c>
      <c r="E66" s="51">
        <v>16535.97</v>
      </c>
      <c r="F66" s="51">
        <v>16535.97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</row>
    <row r="67" spans="1:20" ht="21.75">
      <c r="A67" s="48" t="s">
        <v>238</v>
      </c>
      <c r="B67" s="48" t="s">
        <v>239</v>
      </c>
      <c r="C67" s="51">
        <v>25713.41</v>
      </c>
      <c r="D67" s="51">
        <v>0</v>
      </c>
      <c r="E67" s="51">
        <v>0</v>
      </c>
      <c r="F67" s="51">
        <v>0</v>
      </c>
      <c r="G67" s="51">
        <v>25713.41</v>
      </c>
      <c r="H67" s="51">
        <v>0</v>
      </c>
      <c r="I67" s="51">
        <v>0</v>
      </c>
      <c r="J67" s="51">
        <v>2233.19</v>
      </c>
      <c r="K67" s="51">
        <v>23480.22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23480.22</v>
      </c>
      <c r="T67" s="51">
        <v>0</v>
      </c>
    </row>
    <row r="68" spans="1:20" ht="21.75">
      <c r="A68" s="48" t="s">
        <v>770</v>
      </c>
      <c r="B68" s="48" t="s">
        <v>771</v>
      </c>
      <c r="C68" s="51">
        <v>0</v>
      </c>
      <c r="D68" s="51">
        <v>0</v>
      </c>
      <c r="E68" s="51">
        <v>169715</v>
      </c>
      <c r="F68" s="51">
        <v>169715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</row>
    <row r="69" spans="1:20" ht="21.75">
      <c r="A69" s="48" t="s">
        <v>772</v>
      </c>
      <c r="B69" s="48" t="s">
        <v>773</v>
      </c>
      <c r="C69" s="51">
        <v>0</v>
      </c>
      <c r="D69" s="51">
        <v>0</v>
      </c>
      <c r="E69" s="51">
        <v>336</v>
      </c>
      <c r="F69" s="51">
        <v>336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</row>
    <row r="70" spans="1:20" ht="21.75">
      <c r="A70" s="48" t="s">
        <v>774</v>
      </c>
      <c r="B70" s="48" t="s">
        <v>775</v>
      </c>
      <c r="C70" s="51">
        <v>0</v>
      </c>
      <c r="D70" s="51">
        <v>0</v>
      </c>
      <c r="E70" s="51">
        <v>33670</v>
      </c>
      <c r="F70" s="51">
        <v>33670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</row>
    <row r="71" spans="1:20" s="57" customFormat="1" ht="21.75">
      <c r="A71" s="55" t="s">
        <v>498</v>
      </c>
      <c r="B71" s="55" t="s">
        <v>776</v>
      </c>
      <c r="C71" s="56">
        <v>480.3</v>
      </c>
      <c r="D71" s="56">
        <v>0</v>
      </c>
      <c r="E71" s="56">
        <v>0</v>
      </c>
      <c r="F71" s="56">
        <v>480.3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</row>
    <row r="72" spans="1:20" ht="21.75">
      <c r="A72" s="54" t="s">
        <v>777</v>
      </c>
      <c r="B72" s="54" t="s">
        <v>685</v>
      </c>
      <c r="C72" s="53">
        <v>0</v>
      </c>
      <c r="D72" s="53">
        <v>7073.66</v>
      </c>
      <c r="E72" s="53">
        <v>0</v>
      </c>
      <c r="F72" s="53">
        <v>0</v>
      </c>
      <c r="G72" s="53">
        <v>0</v>
      </c>
      <c r="H72" s="53">
        <v>7073.66</v>
      </c>
      <c r="I72" s="53">
        <v>0</v>
      </c>
      <c r="J72" s="53">
        <v>130738.85</v>
      </c>
      <c r="K72" s="53">
        <v>0</v>
      </c>
      <c r="L72" s="53">
        <v>137812.51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137812.51</v>
      </c>
    </row>
    <row r="73" spans="1:20" ht="21.75">
      <c r="A73" s="48" t="s">
        <v>499</v>
      </c>
      <c r="B73" s="48" t="s">
        <v>3</v>
      </c>
      <c r="C73" s="51">
        <v>8202755</v>
      </c>
      <c r="D73" s="51">
        <v>0</v>
      </c>
      <c r="E73" s="51">
        <v>0</v>
      </c>
      <c r="F73" s="51">
        <v>0</v>
      </c>
      <c r="G73" s="51">
        <v>8202755</v>
      </c>
      <c r="H73" s="51">
        <v>0</v>
      </c>
      <c r="I73" s="51">
        <v>0</v>
      </c>
      <c r="J73" s="51">
        <v>0</v>
      </c>
      <c r="K73" s="51">
        <v>8202755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8202755</v>
      </c>
      <c r="T73" s="51">
        <v>0</v>
      </c>
    </row>
    <row r="74" spans="1:20" ht="21.75">
      <c r="A74" s="48" t="s">
        <v>240</v>
      </c>
      <c r="B74" s="48" t="s">
        <v>500</v>
      </c>
      <c r="C74" s="51">
        <v>9022333.88</v>
      </c>
      <c r="D74" s="51">
        <v>0</v>
      </c>
      <c r="E74" s="51">
        <v>2622753</v>
      </c>
      <c r="F74" s="51">
        <v>9900</v>
      </c>
      <c r="G74" s="51">
        <v>11635186.88</v>
      </c>
      <c r="H74" s="51">
        <v>0</v>
      </c>
      <c r="I74" s="51">
        <v>0</v>
      </c>
      <c r="J74" s="51">
        <v>3297367.6</v>
      </c>
      <c r="K74" s="51">
        <v>8337819.28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8337819.28</v>
      </c>
      <c r="T74" s="51">
        <v>0</v>
      </c>
    </row>
    <row r="75" spans="1:20" ht="21.75">
      <c r="A75" s="48" t="s">
        <v>778</v>
      </c>
      <c r="B75" s="48" t="s">
        <v>779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2612853</v>
      </c>
      <c r="J75" s="51">
        <v>0</v>
      </c>
      <c r="K75" s="51">
        <v>2612853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2612853</v>
      </c>
      <c r="T75" s="51">
        <v>0</v>
      </c>
    </row>
    <row r="76" spans="1:20" ht="21.75">
      <c r="A76" s="48" t="s">
        <v>241</v>
      </c>
      <c r="B76" s="48" t="s">
        <v>4</v>
      </c>
      <c r="C76" s="51">
        <v>2532136.89</v>
      </c>
      <c r="D76" s="51">
        <v>0</v>
      </c>
      <c r="E76" s="51">
        <v>0</v>
      </c>
      <c r="F76" s="51">
        <v>0</v>
      </c>
      <c r="G76" s="51">
        <v>2532136.89</v>
      </c>
      <c r="H76" s="51">
        <v>0</v>
      </c>
      <c r="I76" s="51">
        <v>0</v>
      </c>
      <c r="J76" s="51">
        <v>534800</v>
      </c>
      <c r="K76" s="51">
        <v>1997336.89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1997336.89</v>
      </c>
      <c r="T76" s="51">
        <v>0</v>
      </c>
    </row>
    <row r="77" spans="1:20" ht="21.75">
      <c r="A77" s="48" t="s">
        <v>242</v>
      </c>
      <c r="B77" s="48" t="s">
        <v>243</v>
      </c>
      <c r="C77" s="51">
        <v>748218.79</v>
      </c>
      <c r="D77" s="51">
        <v>0</v>
      </c>
      <c r="E77" s="51">
        <v>584718</v>
      </c>
      <c r="F77" s="51">
        <v>6900</v>
      </c>
      <c r="G77" s="51">
        <v>1326036.79</v>
      </c>
      <c r="H77" s="51">
        <v>0</v>
      </c>
      <c r="I77" s="51">
        <v>0</v>
      </c>
      <c r="J77" s="51">
        <f>971749.67</f>
        <v>971749.67</v>
      </c>
      <c r="K77" s="51">
        <v>354287.12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354287.12</v>
      </c>
      <c r="T77" s="51">
        <v>0</v>
      </c>
    </row>
    <row r="78" spans="1:20" ht="21.75">
      <c r="A78" s="48" t="s">
        <v>780</v>
      </c>
      <c r="B78" s="48" t="s">
        <v>781</v>
      </c>
      <c r="C78" s="51">
        <v>56140</v>
      </c>
      <c r="D78" s="51">
        <v>0</v>
      </c>
      <c r="E78" s="51">
        <v>0</v>
      </c>
      <c r="F78" s="51">
        <v>0</v>
      </c>
      <c r="G78" s="51">
        <v>56140</v>
      </c>
      <c r="H78" s="51">
        <v>0</v>
      </c>
      <c r="I78" s="51">
        <v>577818</v>
      </c>
      <c r="J78" s="51">
        <v>0</v>
      </c>
      <c r="K78" s="51">
        <v>633958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633958</v>
      </c>
      <c r="T78" s="51">
        <v>0</v>
      </c>
    </row>
    <row r="79" spans="1:20" ht="21.75">
      <c r="A79" s="48" t="s">
        <v>244</v>
      </c>
      <c r="B79" s="48" t="s">
        <v>245</v>
      </c>
      <c r="C79" s="51">
        <v>20000</v>
      </c>
      <c r="D79" s="51">
        <v>0</v>
      </c>
      <c r="E79" s="51">
        <v>0</v>
      </c>
      <c r="F79" s="51">
        <v>0</v>
      </c>
      <c r="G79" s="51">
        <v>20000</v>
      </c>
      <c r="H79" s="51">
        <v>0</v>
      </c>
      <c r="I79" s="51">
        <v>0</v>
      </c>
      <c r="J79" s="51">
        <v>0</v>
      </c>
      <c r="K79" s="51">
        <v>20000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20000</v>
      </c>
      <c r="T79" s="51">
        <v>0</v>
      </c>
    </row>
    <row r="80" spans="1:20" ht="21.75">
      <c r="A80" s="48" t="s">
        <v>501</v>
      </c>
      <c r="B80" s="48" t="s">
        <v>395</v>
      </c>
      <c r="C80" s="51">
        <v>52000</v>
      </c>
      <c r="D80" s="51">
        <v>0</v>
      </c>
      <c r="E80" s="51">
        <v>0</v>
      </c>
      <c r="F80" s="51">
        <v>0</v>
      </c>
      <c r="G80" s="51">
        <v>52000</v>
      </c>
      <c r="H80" s="51">
        <v>0</v>
      </c>
      <c r="I80" s="51">
        <v>0</v>
      </c>
      <c r="J80" s="51">
        <v>52000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</row>
    <row r="81" spans="1:20" ht="21.75">
      <c r="A81" s="48" t="s">
        <v>502</v>
      </c>
      <c r="B81" s="48" t="s">
        <v>503</v>
      </c>
      <c r="C81" s="51">
        <v>54193.32</v>
      </c>
      <c r="D81" s="51">
        <v>0</v>
      </c>
      <c r="E81" s="51">
        <v>0</v>
      </c>
      <c r="F81" s="51">
        <v>0</v>
      </c>
      <c r="G81" s="51">
        <v>54193.32</v>
      </c>
      <c r="H81" s="51">
        <v>0</v>
      </c>
      <c r="I81" s="51">
        <v>0</v>
      </c>
      <c r="J81" s="51">
        <v>18064.44</v>
      </c>
      <c r="K81" s="51">
        <v>36128.88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36128.88</v>
      </c>
      <c r="T81" s="51">
        <v>0</v>
      </c>
    </row>
    <row r="82" spans="1:20" ht="21.75">
      <c r="A82" s="48" t="s">
        <v>782</v>
      </c>
      <c r="B82" s="48" t="s">
        <v>783</v>
      </c>
      <c r="C82" s="51">
        <v>0</v>
      </c>
      <c r="D82" s="51">
        <v>0</v>
      </c>
      <c r="E82" s="51">
        <v>80000</v>
      </c>
      <c r="F82" s="51">
        <v>0</v>
      </c>
      <c r="G82" s="51">
        <v>80000</v>
      </c>
      <c r="H82" s="51">
        <v>0</v>
      </c>
      <c r="I82" s="51">
        <v>0</v>
      </c>
      <c r="J82" s="51">
        <v>16000</v>
      </c>
      <c r="K82" s="51">
        <v>64000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64000</v>
      </c>
      <c r="T82" s="51">
        <v>0</v>
      </c>
    </row>
    <row r="83" spans="1:20" ht="21.75">
      <c r="A83" s="48" t="s">
        <v>246</v>
      </c>
      <c r="B83" s="48" t="s">
        <v>247</v>
      </c>
      <c r="C83" s="51">
        <v>120000</v>
      </c>
      <c r="D83" s="51">
        <v>0</v>
      </c>
      <c r="E83" s="51">
        <v>0</v>
      </c>
      <c r="F83" s="51">
        <v>0</v>
      </c>
      <c r="G83" s="51">
        <v>120000</v>
      </c>
      <c r="H83" s="51">
        <v>0</v>
      </c>
      <c r="I83" s="51">
        <v>0</v>
      </c>
      <c r="J83" s="51">
        <v>0</v>
      </c>
      <c r="K83" s="51">
        <v>120000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120000</v>
      </c>
      <c r="T83" s="51">
        <v>0</v>
      </c>
    </row>
    <row r="84" spans="1:20" ht="21.75">
      <c r="A84" s="48" t="s">
        <v>248</v>
      </c>
      <c r="B84" s="48" t="s">
        <v>249</v>
      </c>
      <c r="C84" s="51">
        <v>0</v>
      </c>
      <c r="D84" s="51">
        <v>109062113.3</v>
      </c>
      <c r="E84" s="51">
        <v>262807002.1</v>
      </c>
      <c r="F84" s="51">
        <v>286770424</v>
      </c>
      <c r="G84" s="51">
        <v>0</v>
      </c>
      <c r="H84" s="51">
        <v>133025535.2</v>
      </c>
      <c r="I84" s="51">
        <v>0</v>
      </c>
      <c r="J84" s="51">
        <v>0</v>
      </c>
      <c r="K84" s="51">
        <v>0</v>
      </c>
      <c r="L84" s="51">
        <v>133025535.2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133025535.2</v>
      </c>
    </row>
    <row r="85" spans="1:20" ht="21.75">
      <c r="A85" s="48" t="s">
        <v>504</v>
      </c>
      <c r="B85" s="48" t="s">
        <v>505</v>
      </c>
      <c r="C85" s="51">
        <v>0</v>
      </c>
      <c r="D85" s="51">
        <v>14999999.68</v>
      </c>
      <c r="E85" s="51">
        <v>37814037.31</v>
      </c>
      <c r="F85" s="51">
        <v>37814037</v>
      </c>
      <c r="G85" s="51">
        <v>0</v>
      </c>
      <c r="H85" s="51">
        <v>14999999.37</v>
      </c>
      <c r="I85" s="51">
        <v>0</v>
      </c>
      <c r="J85" s="51">
        <v>0</v>
      </c>
      <c r="K85" s="51">
        <v>0</v>
      </c>
      <c r="L85" s="51">
        <v>14999999.37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14999999.37</v>
      </c>
    </row>
    <row r="86" spans="1:20" ht="21.75">
      <c r="A86" s="48" t="s">
        <v>506</v>
      </c>
      <c r="B86" s="48" t="s">
        <v>507</v>
      </c>
      <c r="C86" s="51">
        <v>0</v>
      </c>
      <c r="D86" s="51">
        <v>74968776.09</v>
      </c>
      <c r="E86" s="51">
        <v>63581599.03</v>
      </c>
      <c r="F86" s="51">
        <v>61818000</v>
      </c>
      <c r="G86" s="51">
        <v>0</v>
      </c>
      <c r="H86" s="51">
        <v>73205177.06</v>
      </c>
      <c r="I86" s="51">
        <v>0</v>
      </c>
      <c r="J86" s="51">
        <v>0</v>
      </c>
      <c r="K86" s="51">
        <v>0</v>
      </c>
      <c r="L86" s="51">
        <v>73205177.06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73205177.06</v>
      </c>
    </row>
    <row r="87" spans="1:20" ht="21.75">
      <c r="A87" s="48" t="s">
        <v>508</v>
      </c>
      <c r="B87" s="48" t="s">
        <v>250</v>
      </c>
      <c r="C87" s="51">
        <v>0</v>
      </c>
      <c r="D87" s="51">
        <v>3000000</v>
      </c>
      <c r="E87" s="51">
        <v>3000000</v>
      </c>
      <c r="F87" s="51">
        <v>3000000</v>
      </c>
      <c r="G87" s="51">
        <v>0</v>
      </c>
      <c r="H87" s="51">
        <v>3000000</v>
      </c>
      <c r="I87" s="51">
        <v>0</v>
      </c>
      <c r="J87" s="51">
        <v>0</v>
      </c>
      <c r="K87" s="51">
        <v>0</v>
      </c>
      <c r="L87" s="51">
        <v>3000000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3000000</v>
      </c>
    </row>
    <row r="88" spans="1:20" ht="21.75">
      <c r="A88" s="48" t="s">
        <v>509</v>
      </c>
      <c r="B88" s="48" t="s">
        <v>510</v>
      </c>
      <c r="C88" s="51">
        <v>0</v>
      </c>
      <c r="D88" s="51">
        <v>4970000</v>
      </c>
      <c r="E88" s="51">
        <v>4970000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</row>
    <row r="89" spans="1:20" ht="21.75">
      <c r="A89" s="48" t="s">
        <v>784</v>
      </c>
      <c r="B89" s="48" t="s">
        <v>785</v>
      </c>
      <c r="C89" s="51">
        <v>0</v>
      </c>
      <c r="D89" s="51">
        <v>0</v>
      </c>
      <c r="E89" s="51">
        <v>0</v>
      </c>
      <c r="F89" s="51">
        <v>2500000</v>
      </c>
      <c r="G89" s="51">
        <v>0</v>
      </c>
      <c r="H89" s="51">
        <v>2500000</v>
      </c>
      <c r="I89" s="51">
        <v>0</v>
      </c>
      <c r="J89" s="51">
        <v>0</v>
      </c>
      <c r="K89" s="51">
        <v>0</v>
      </c>
      <c r="L89" s="51">
        <v>2500000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2500000</v>
      </c>
    </row>
    <row r="90" spans="1:20" ht="21.75">
      <c r="A90" s="48" t="s">
        <v>511</v>
      </c>
      <c r="B90" s="48" t="s">
        <v>426</v>
      </c>
      <c r="C90" s="51">
        <v>0</v>
      </c>
      <c r="D90" s="51">
        <v>1500000</v>
      </c>
      <c r="E90" s="51">
        <v>1500000</v>
      </c>
      <c r="F90" s="51">
        <v>5000000</v>
      </c>
      <c r="G90" s="51">
        <v>0</v>
      </c>
      <c r="H90" s="51">
        <v>5000000</v>
      </c>
      <c r="I90" s="51">
        <v>0</v>
      </c>
      <c r="J90" s="51">
        <v>0</v>
      </c>
      <c r="K90" s="51">
        <v>0</v>
      </c>
      <c r="L90" s="51">
        <v>5000000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5000000</v>
      </c>
    </row>
    <row r="91" spans="1:20" ht="21.75">
      <c r="A91" s="48" t="s">
        <v>251</v>
      </c>
      <c r="B91" s="48" t="s">
        <v>83</v>
      </c>
      <c r="C91" s="51">
        <v>0</v>
      </c>
      <c r="D91" s="51">
        <v>0</v>
      </c>
      <c r="E91" s="51">
        <v>3297355</v>
      </c>
      <c r="F91" s="51">
        <v>3297355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</row>
    <row r="92" spans="1:20" ht="21.75">
      <c r="A92" s="48" t="s">
        <v>252</v>
      </c>
      <c r="B92" s="48" t="s">
        <v>58</v>
      </c>
      <c r="C92" s="51">
        <v>0</v>
      </c>
      <c r="D92" s="51">
        <v>13382613.13</v>
      </c>
      <c r="E92" s="51">
        <v>53597266.26</v>
      </c>
      <c r="F92" s="51">
        <v>52100147.59</v>
      </c>
      <c r="G92" s="51">
        <v>0</v>
      </c>
      <c r="H92" s="51">
        <v>11885494.46</v>
      </c>
      <c r="I92" s="51">
        <v>46974.64</v>
      </c>
      <c r="J92" s="51">
        <v>237454.98</v>
      </c>
      <c r="K92" s="51">
        <v>0</v>
      </c>
      <c r="L92" s="51">
        <v>12075974.8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12075974.8</v>
      </c>
    </row>
    <row r="93" spans="1:20" ht="21.75">
      <c r="A93" s="48" t="s">
        <v>253</v>
      </c>
      <c r="B93" s="48" t="s">
        <v>512</v>
      </c>
      <c r="C93" s="51">
        <v>0</v>
      </c>
      <c r="D93" s="51">
        <v>85549132.97</v>
      </c>
      <c r="E93" s="51">
        <v>45634194.43</v>
      </c>
      <c r="F93" s="51">
        <v>58571569.2</v>
      </c>
      <c r="G93" s="51">
        <v>0</v>
      </c>
      <c r="H93" s="51">
        <v>98486507.74</v>
      </c>
      <c r="I93" s="51">
        <v>3589.95</v>
      </c>
      <c r="J93" s="51">
        <v>1895071</v>
      </c>
      <c r="K93" s="51">
        <v>0</v>
      </c>
      <c r="L93" s="51">
        <v>100377988.79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100377988.79</v>
      </c>
    </row>
    <row r="94" spans="1:20" s="57" customFormat="1" ht="21.75">
      <c r="A94" s="55" t="s">
        <v>254</v>
      </c>
      <c r="B94" s="55" t="s">
        <v>255</v>
      </c>
      <c r="C94" s="56">
        <v>0</v>
      </c>
      <c r="D94" s="56">
        <v>0</v>
      </c>
      <c r="E94" s="56">
        <v>30000</v>
      </c>
      <c r="F94" s="56">
        <v>30000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</row>
    <row r="95" spans="1:20" ht="21.75">
      <c r="A95" s="54" t="s">
        <v>513</v>
      </c>
      <c r="B95" s="54" t="s">
        <v>514</v>
      </c>
      <c r="C95" s="53">
        <v>0</v>
      </c>
      <c r="D95" s="53">
        <v>54822.19</v>
      </c>
      <c r="E95" s="53">
        <v>54822.19</v>
      </c>
      <c r="F95" s="53">
        <v>0</v>
      </c>
      <c r="G95" s="53">
        <v>0</v>
      </c>
      <c r="H95" s="53">
        <v>0</v>
      </c>
      <c r="I95" s="53">
        <v>0</v>
      </c>
      <c r="J95" s="53">
        <v>44438.36</v>
      </c>
      <c r="K95" s="53">
        <v>0</v>
      </c>
      <c r="L95" s="53">
        <v>44438.36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44438.36</v>
      </c>
    </row>
    <row r="96" spans="1:20" ht="21.75">
      <c r="A96" s="48" t="s">
        <v>256</v>
      </c>
      <c r="B96" s="48" t="s">
        <v>129</v>
      </c>
      <c r="C96" s="51">
        <v>0</v>
      </c>
      <c r="D96" s="51">
        <v>2700</v>
      </c>
      <c r="E96" s="51">
        <v>41982.26</v>
      </c>
      <c r="F96" s="51">
        <v>41982.26</v>
      </c>
      <c r="G96" s="51">
        <v>0</v>
      </c>
      <c r="H96" s="51">
        <v>2700</v>
      </c>
      <c r="I96" s="51">
        <v>0</v>
      </c>
      <c r="J96" s="51">
        <v>0</v>
      </c>
      <c r="K96" s="51">
        <v>0</v>
      </c>
      <c r="L96" s="51">
        <v>2700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2700</v>
      </c>
    </row>
    <row r="97" spans="1:20" ht="21.75">
      <c r="A97" s="48" t="s">
        <v>515</v>
      </c>
      <c r="B97" s="48" t="s">
        <v>516</v>
      </c>
      <c r="C97" s="51">
        <v>0</v>
      </c>
      <c r="D97" s="51">
        <v>85081.51</v>
      </c>
      <c r="E97" s="51">
        <v>10071.85</v>
      </c>
      <c r="F97" s="51">
        <v>0</v>
      </c>
      <c r="G97" s="51">
        <v>0</v>
      </c>
      <c r="H97" s="51">
        <v>75009.66</v>
      </c>
      <c r="I97" s="51">
        <v>0</v>
      </c>
      <c r="J97" s="51">
        <v>0</v>
      </c>
      <c r="K97" s="51">
        <v>0</v>
      </c>
      <c r="L97" s="51">
        <v>75009.66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75009.66</v>
      </c>
    </row>
    <row r="98" spans="1:20" ht="21.75">
      <c r="A98" s="48" t="s">
        <v>517</v>
      </c>
      <c r="B98" s="48" t="s">
        <v>518</v>
      </c>
      <c r="C98" s="51">
        <v>0</v>
      </c>
      <c r="D98" s="51">
        <v>6589.32</v>
      </c>
      <c r="E98" s="51">
        <v>2677.81</v>
      </c>
      <c r="F98" s="51">
        <v>0</v>
      </c>
      <c r="G98" s="51">
        <v>0</v>
      </c>
      <c r="H98" s="51">
        <v>3911.51</v>
      </c>
      <c r="I98" s="51">
        <v>0</v>
      </c>
      <c r="J98" s="51">
        <v>0</v>
      </c>
      <c r="K98" s="51">
        <v>0</v>
      </c>
      <c r="L98" s="51">
        <v>3911.51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3911.51</v>
      </c>
    </row>
    <row r="99" spans="1:20" ht="21.75">
      <c r="A99" s="48" t="s">
        <v>519</v>
      </c>
      <c r="B99" s="48" t="s">
        <v>786</v>
      </c>
      <c r="C99" s="51">
        <v>0</v>
      </c>
      <c r="D99" s="51">
        <v>0</v>
      </c>
      <c r="E99" s="51">
        <v>2150.94</v>
      </c>
      <c r="F99" s="51">
        <v>4410.68</v>
      </c>
      <c r="G99" s="51">
        <v>0</v>
      </c>
      <c r="H99" s="51">
        <v>2259.74</v>
      </c>
      <c r="I99" s="51">
        <v>0</v>
      </c>
      <c r="J99" s="51">
        <v>50564.59</v>
      </c>
      <c r="K99" s="51">
        <v>0</v>
      </c>
      <c r="L99" s="51">
        <v>52824.33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52824.33</v>
      </c>
    </row>
    <row r="100" spans="1:20" ht="21.75">
      <c r="A100" s="48" t="s">
        <v>520</v>
      </c>
      <c r="B100" s="65" t="s">
        <v>787</v>
      </c>
      <c r="C100" s="51">
        <v>0</v>
      </c>
      <c r="D100" s="51">
        <v>480.3</v>
      </c>
      <c r="E100" s="51">
        <v>639.81</v>
      </c>
      <c r="F100" s="51">
        <v>159.51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</row>
    <row r="101" spans="1:20" ht="21.75">
      <c r="A101" s="48" t="s">
        <v>521</v>
      </c>
      <c r="B101" s="48" t="s">
        <v>257</v>
      </c>
      <c r="C101" s="51">
        <v>0</v>
      </c>
      <c r="D101" s="51">
        <v>0</v>
      </c>
      <c r="E101" s="51">
        <v>277433.87</v>
      </c>
      <c r="F101" s="51">
        <v>277433.87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</row>
    <row r="102" spans="1:20" ht="21.75">
      <c r="A102" s="48" t="s">
        <v>788</v>
      </c>
      <c r="B102" s="48" t="s">
        <v>789</v>
      </c>
      <c r="C102" s="51">
        <v>0</v>
      </c>
      <c r="D102" s="51">
        <v>0</v>
      </c>
      <c r="E102" s="51">
        <v>9630</v>
      </c>
      <c r="F102" s="51">
        <v>10243.5</v>
      </c>
      <c r="G102" s="51">
        <v>0</v>
      </c>
      <c r="H102" s="51">
        <v>613.5</v>
      </c>
      <c r="I102" s="51">
        <v>0</v>
      </c>
      <c r="J102" s="51">
        <v>0</v>
      </c>
      <c r="K102" s="51">
        <v>0</v>
      </c>
      <c r="L102" s="51">
        <v>613.5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613.5</v>
      </c>
    </row>
    <row r="103" spans="1:20" ht="21.75">
      <c r="A103" s="48" t="s">
        <v>790</v>
      </c>
      <c r="B103" s="48" t="s">
        <v>791</v>
      </c>
      <c r="C103" s="51">
        <v>0</v>
      </c>
      <c r="D103" s="51">
        <v>0</v>
      </c>
      <c r="E103" s="51">
        <v>524565</v>
      </c>
      <c r="F103" s="51">
        <v>524565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</row>
    <row r="104" spans="1:20" ht="21.75">
      <c r="A104" s="48" t="s">
        <v>258</v>
      </c>
      <c r="B104" s="48" t="s">
        <v>259</v>
      </c>
      <c r="C104" s="51">
        <v>0</v>
      </c>
      <c r="D104" s="51">
        <v>0</v>
      </c>
      <c r="E104" s="51">
        <v>1233607.48</v>
      </c>
      <c r="F104" s="51">
        <v>1233607.48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</row>
    <row r="105" spans="1:20" ht="21.75">
      <c r="A105" s="48" t="s">
        <v>260</v>
      </c>
      <c r="B105" s="48" t="s">
        <v>261</v>
      </c>
      <c r="C105" s="51">
        <v>0</v>
      </c>
      <c r="D105" s="51">
        <v>0</v>
      </c>
      <c r="E105" s="51">
        <v>19855.3</v>
      </c>
      <c r="F105" s="51">
        <v>19855.3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</row>
    <row r="106" spans="1:20" ht="21.75">
      <c r="A106" s="48" t="s">
        <v>522</v>
      </c>
      <c r="B106" s="48" t="s">
        <v>523</v>
      </c>
      <c r="C106" s="51">
        <v>0</v>
      </c>
      <c r="D106" s="51">
        <v>0</v>
      </c>
      <c r="E106" s="51">
        <v>7888600.87</v>
      </c>
      <c r="F106" s="51">
        <v>7888600.87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</row>
    <row r="107" spans="1:20" ht="21.75">
      <c r="A107" s="48" t="s">
        <v>524</v>
      </c>
      <c r="B107" s="48" t="s">
        <v>350</v>
      </c>
      <c r="C107" s="51">
        <v>0</v>
      </c>
      <c r="D107" s="51">
        <v>0</v>
      </c>
      <c r="E107" s="51">
        <v>28154.45</v>
      </c>
      <c r="F107" s="51">
        <v>28154.45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</row>
    <row r="108" spans="1:20" ht="21.75">
      <c r="A108" s="48" t="s">
        <v>525</v>
      </c>
      <c r="B108" s="48" t="s">
        <v>396</v>
      </c>
      <c r="C108" s="51">
        <v>0</v>
      </c>
      <c r="D108" s="51">
        <v>0</v>
      </c>
      <c r="E108" s="51">
        <v>1014.01</v>
      </c>
      <c r="F108" s="51">
        <v>1014.01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</row>
    <row r="109" spans="1:20" ht="21.75">
      <c r="A109" s="48" t="s">
        <v>526</v>
      </c>
      <c r="B109" s="48" t="s">
        <v>397</v>
      </c>
      <c r="C109" s="51">
        <v>0</v>
      </c>
      <c r="D109" s="51">
        <v>0</v>
      </c>
      <c r="E109" s="51">
        <v>526.47</v>
      </c>
      <c r="F109" s="51">
        <v>526.47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</row>
    <row r="110" spans="1:20" ht="21.75">
      <c r="A110" s="48" t="s">
        <v>527</v>
      </c>
      <c r="B110" s="48" t="s">
        <v>528</v>
      </c>
      <c r="C110" s="51">
        <v>0</v>
      </c>
      <c r="D110" s="51">
        <v>0</v>
      </c>
      <c r="E110" s="51">
        <v>1109.92</v>
      </c>
      <c r="F110" s="51">
        <v>1109.92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</row>
    <row r="111" spans="1:20" ht="21.75">
      <c r="A111" s="48" t="s">
        <v>529</v>
      </c>
      <c r="B111" s="48" t="s">
        <v>530</v>
      </c>
      <c r="C111" s="51">
        <v>0</v>
      </c>
      <c r="D111" s="51">
        <v>0</v>
      </c>
      <c r="E111" s="51">
        <v>1819.44</v>
      </c>
      <c r="F111" s="51">
        <v>1819.44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</row>
    <row r="112" spans="1:20" ht="21.75">
      <c r="A112" s="48" t="s">
        <v>531</v>
      </c>
      <c r="B112" s="48" t="s">
        <v>411</v>
      </c>
      <c r="C112" s="51">
        <v>0</v>
      </c>
      <c r="D112" s="51">
        <v>150</v>
      </c>
      <c r="E112" s="51">
        <v>0</v>
      </c>
      <c r="F112" s="51">
        <v>0</v>
      </c>
      <c r="G112" s="51">
        <v>0</v>
      </c>
      <c r="H112" s="51">
        <v>150</v>
      </c>
      <c r="I112" s="51">
        <v>0</v>
      </c>
      <c r="J112" s="51">
        <v>0</v>
      </c>
      <c r="K112" s="51">
        <v>0</v>
      </c>
      <c r="L112" s="51">
        <v>150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150</v>
      </c>
    </row>
    <row r="113" spans="1:20" ht="21.75">
      <c r="A113" s="48" t="s">
        <v>262</v>
      </c>
      <c r="B113" s="48" t="s">
        <v>146</v>
      </c>
      <c r="C113" s="51">
        <v>0</v>
      </c>
      <c r="D113" s="51">
        <v>17308</v>
      </c>
      <c r="E113" s="51">
        <v>220056</v>
      </c>
      <c r="F113" s="51">
        <v>220860</v>
      </c>
      <c r="G113" s="51">
        <v>0</v>
      </c>
      <c r="H113" s="51">
        <v>18112</v>
      </c>
      <c r="I113" s="51">
        <v>0</v>
      </c>
      <c r="J113" s="51">
        <v>0</v>
      </c>
      <c r="K113" s="51">
        <v>0</v>
      </c>
      <c r="L113" s="51">
        <v>18112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18112</v>
      </c>
    </row>
    <row r="114" spans="1:20" ht="21.75">
      <c r="A114" s="48" t="s">
        <v>532</v>
      </c>
      <c r="B114" s="48" t="s">
        <v>412</v>
      </c>
      <c r="C114" s="51">
        <v>0</v>
      </c>
      <c r="D114" s="51">
        <v>0</v>
      </c>
      <c r="E114" s="51">
        <v>264.08</v>
      </c>
      <c r="F114" s="51">
        <v>264.08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</row>
    <row r="115" spans="1:20" ht="21.75">
      <c r="A115" s="48" t="s">
        <v>533</v>
      </c>
      <c r="B115" s="48" t="s">
        <v>428</v>
      </c>
      <c r="C115" s="51">
        <v>0</v>
      </c>
      <c r="D115" s="51">
        <v>0</v>
      </c>
      <c r="E115" s="51">
        <v>360.1</v>
      </c>
      <c r="F115" s="51">
        <v>360.1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</row>
    <row r="116" spans="1:20" ht="21.75">
      <c r="A116" s="48" t="s">
        <v>534</v>
      </c>
      <c r="B116" s="48" t="s">
        <v>535</v>
      </c>
      <c r="C116" s="51">
        <v>0</v>
      </c>
      <c r="D116" s="51">
        <v>0</v>
      </c>
      <c r="E116" s="51">
        <v>178.57</v>
      </c>
      <c r="F116" s="51">
        <v>178.57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</row>
    <row r="117" spans="1:20" s="57" customFormat="1" ht="21.75">
      <c r="A117" s="55" t="s">
        <v>263</v>
      </c>
      <c r="B117" s="55" t="s">
        <v>536</v>
      </c>
      <c r="C117" s="56">
        <v>0</v>
      </c>
      <c r="D117" s="56">
        <v>988181.79</v>
      </c>
      <c r="E117" s="56">
        <v>3183865.53</v>
      </c>
      <c r="F117" s="56">
        <v>3266343.5</v>
      </c>
      <c r="G117" s="56">
        <v>0</v>
      </c>
      <c r="H117" s="56">
        <v>1070659.76</v>
      </c>
      <c r="I117" s="56">
        <v>0</v>
      </c>
      <c r="J117" s="56">
        <v>0</v>
      </c>
      <c r="K117" s="56">
        <v>0</v>
      </c>
      <c r="L117" s="56">
        <v>1070659.76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1070659.76</v>
      </c>
    </row>
    <row r="118" spans="1:20" ht="21.75">
      <c r="A118" s="54" t="s">
        <v>792</v>
      </c>
      <c r="B118" s="54" t="s">
        <v>793</v>
      </c>
      <c r="C118" s="53">
        <v>0</v>
      </c>
      <c r="D118" s="53">
        <v>0</v>
      </c>
      <c r="E118" s="53">
        <v>400000</v>
      </c>
      <c r="F118" s="53">
        <v>400000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</row>
    <row r="119" spans="1:20" ht="21.75">
      <c r="A119" s="48" t="s">
        <v>537</v>
      </c>
      <c r="B119" s="48" t="s">
        <v>538</v>
      </c>
      <c r="C119" s="51">
        <v>0</v>
      </c>
      <c r="D119" s="51">
        <v>683.6</v>
      </c>
      <c r="E119" s="51">
        <v>683.6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</row>
    <row r="120" spans="1:20" ht="21.75">
      <c r="A120" s="48" t="s">
        <v>539</v>
      </c>
      <c r="B120" s="48" t="s">
        <v>342</v>
      </c>
      <c r="C120" s="51">
        <v>0</v>
      </c>
      <c r="D120" s="51">
        <v>36547.66</v>
      </c>
      <c r="E120" s="51">
        <v>230719.66</v>
      </c>
      <c r="F120" s="51">
        <v>229628</v>
      </c>
      <c r="G120" s="51">
        <v>0</v>
      </c>
      <c r="H120" s="51">
        <v>35456</v>
      </c>
      <c r="I120" s="51">
        <v>0</v>
      </c>
      <c r="J120" s="51">
        <v>0</v>
      </c>
      <c r="K120" s="51">
        <v>0</v>
      </c>
      <c r="L120" s="51">
        <v>35456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35456</v>
      </c>
    </row>
    <row r="121" spans="1:20" ht="21.75">
      <c r="A121" s="48" t="s">
        <v>540</v>
      </c>
      <c r="B121" s="48" t="s">
        <v>398</v>
      </c>
      <c r="C121" s="51">
        <v>0</v>
      </c>
      <c r="D121" s="51">
        <v>6080.19</v>
      </c>
      <c r="E121" s="51">
        <v>18553.95</v>
      </c>
      <c r="F121" s="51">
        <v>19526.35</v>
      </c>
      <c r="G121" s="51">
        <v>0</v>
      </c>
      <c r="H121" s="51">
        <v>7052.59</v>
      </c>
      <c r="I121" s="51">
        <v>0</v>
      </c>
      <c r="J121" s="51">
        <v>0</v>
      </c>
      <c r="K121" s="51">
        <v>0</v>
      </c>
      <c r="L121" s="51">
        <v>7052.59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7052.59</v>
      </c>
    </row>
    <row r="122" spans="1:20" ht="21.75">
      <c r="A122" s="48" t="s">
        <v>541</v>
      </c>
      <c r="B122" s="48" t="s">
        <v>427</v>
      </c>
      <c r="C122" s="51">
        <v>0</v>
      </c>
      <c r="D122" s="51">
        <v>44236.95</v>
      </c>
      <c r="E122" s="51">
        <v>483895.1</v>
      </c>
      <c r="F122" s="51">
        <v>502401.69</v>
      </c>
      <c r="G122" s="51">
        <v>0</v>
      </c>
      <c r="H122" s="51">
        <v>62743.54</v>
      </c>
      <c r="I122" s="51">
        <v>0</v>
      </c>
      <c r="J122" s="51">
        <v>0</v>
      </c>
      <c r="K122" s="51">
        <v>0</v>
      </c>
      <c r="L122" s="51">
        <v>62743.54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62743.54</v>
      </c>
    </row>
    <row r="123" spans="1:20" ht="21.75">
      <c r="A123" s="48" t="s">
        <v>264</v>
      </c>
      <c r="B123" s="48" t="s">
        <v>542</v>
      </c>
      <c r="C123" s="51">
        <v>0</v>
      </c>
      <c r="D123" s="51">
        <v>1853127.92</v>
      </c>
      <c r="E123" s="51">
        <v>60202.3</v>
      </c>
      <c r="F123" s="51">
        <v>268553</v>
      </c>
      <c r="G123" s="51">
        <v>0</v>
      </c>
      <c r="H123" s="51">
        <v>2061478.62</v>
      </c>
      <c r="I123" s="51">
        <v>0</v>
      </c>
      <c r="J123" s="51">
        <v>78129.05</v>
      </c>
      <c r="K123" s="51">
        <v>0</v>
      </c>
      <c r="L123" s="51">
        <v>2139607.67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2139607.67</v>
      </c>
    </row>
    <row r="124" spans="1:20" ht="21.75">
      <c r="A124" s="48" t="s">
        <v>543</v>
      </c>
      <c r="B124" s="48" t="s">
        <v>343</v>
      </c>
      <c r="C124" s="51">
        <v>0</v>
      </c>
      <c r="D124" s="51">
        <v>669680</v>
      </c>
      <c r="E124" s="51">
        <v>562590</v>
      </c>
      <c r="F124" s="51">
        <v>252130</v>
      </c>
      <c r="G124" s="51">
        <v>0</v>
      </c>
      <c r="H124" s="51">
        <v>359220</v>
      </c>
      <c r="I124" s="51">
        <v>0</v>
      </c>
      <c r="J124" s="51">
        <v>0</v>
      </c>
      <c r="K124" s="51">
        <v>0</v>
      </c>
      <c r="L124" s="51">
        <v>359220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359220</v>
      </c>
    </row>
    <row r="125" spans="1:20" ht="21.75">
      <c r="A125" s="48" t="s">
        <v>265</v>
      </c>
      <c r="B125" s="48" t="s">
        <v>544</v>
      </c>
      <c r="C125" s="51">
        <v>0</v>
      </c>
      <c r="D125" s="51">
        <v>4435770</v>
      </c>
      <c r="E125" s="51">
        <v>0</v>
      </c>
      <c r="F125" s="51">
        <v>0</v>
      </c>
      <c r="G125" s="51">
        <v>0</v>
      </c>
      <c r="H125" s="51">
        <v>4435770</v>
      </c>
      <c r="I125" s="51">
        <v>0</v>
      </c>
      <c r="J125" s="51">
        <v>533630</v>
      </c>
      <c r="K125" s="51">
        <v>0</v>
      </c>
      <c r="L125" s="51">
        <v>4969400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4969400</v>
      </c>
    </row>
    <row r="126" spans="1:20" ht="21.75">
      <c r="A126" s="48" t="s">
        <v>545</v>
      </c>
      <c r="B126" s="48" t="s">
        <v>546</v>
      </c>
      <c r="C126" s="51">
        <v>0</v>
      </c>
      <c r="D126" s="51">
        <v>0</v>
      </c>
      <c r="E126" s="51">
        <v>72735</v>
      </c>
      <c r="F126" s="51">
        <v>72735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</row>
    <row r="127" spans="1:20" ht="21.75">
      <c r="A127" s="48" t="s">
        <v>266</v>
      </c>
      <c r="B127" s="48" t="s">
        <v>547</v>
      </c>
      <c r="C127" s="51">
        <v>0</v>
      </c>
      <c r="D127" s="51">
        <v>472831.27</v>
      </c>
      <c r="E127" s="51">
        <v>0</v>
      </c>
      <c r="F127" s="51">
        <v>6021</v>
      </c>
      <c r="G127" s="51">
        <v>0</v>
      </c>
      <c r="H127" s="51">
        <v>478852.27</v>
      </c>
      <c r="I127" s="51">
        <v>0</v>
      </c>
      <c r="J127" s="51">
        <v>2.15</v>
      </c>
      <c r="K127" s="51">
        <v>0</v>
      </c>
      <c r="L127" s="51">
        <v>478854.42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478854.42</v>
      </c>
    </row>
    <row r="128" spans="1:20" ht="21.75">
      <c r="A128" s="48" t="s">
        <v>548</v>
      </c>
      <c r="B128" s="48" t="s">
        <v>549</v>
      </c>
      <c r="C128" s="51">
        <v>0</v>
      </c>
      <c r="D128" s="51">
        <v>1048500</v>
      </c>
      <c r="E128" s="51">
        <v>0</v>
      </c>
      <c r="F128" s="51">
        <v>0</v>
      </c>
      <c r="G128" s="51">
        <v>0</v>
      </c>
      <c r="H128" s="51">
        <v>1048500</v>
      </c>
      <c r="I128" s="51">
        <v>0</v>
      </c>
      <c r="J128" s="51">
        <v>0</v>
      </c>
      <c r="K128" s="51">
        <v>0</v>
      </c>
      <c r="L128" s="51">
        <v>1048500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1048500</v>
      </c>
    </row>
    <row r="129" spans="1:20" ht="21.75">
      <c r="A129" s="48" t="s">
        <v>550</v>
      </c>
      <c r="B129" s="48" t="s">
        <v>551</v>
      </c>
      <c r="C129" s="51">
        <v>0</v>
      </c>
      <c r="D129" s="51">
        <v>845000</v>
      </c>
      <c r="E129" s="51">
        <v>0</v>
      </c>
      <c r="F129" s="51">
        <v>0</v>
      </c>
      <c r="G129" s="51">
        <v>0</v>
      </c>
      <c r="H129" s="51">
        <v>845000</v>
      </c>
      <c r="I129" s="51">
        <v>65000</v>
      </c>
      <c r="J129" s="51">
        <v>0</v>
      </c>
      <c r="K129" s="51">
        <v>0</v>
      </c>
      <c r="L129" s="51">
        <v>780000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780000</v>
      </c>
    </row>
    <row r="130" spans="1:20" ht="21.75">
      <c r="A130" s="48" t="s">
        <v>552</v>
      </c>
      <c r="B130" s="48" t="s">
        <v>553</v>
      </c>
      <c r="C130" s="51">
        <v>0</v>
      </c>
      <c r="D130" s="51">
        <v>761643.84</v>
      </c>
      <c r="E130" s="51">
        <v>0</v>
      </c>
      <c r="F130" s="51">
        <v>0</v>
      </c>
      <c r="G130" s="51">
        <v>0</v>
      </c>
      <c r="H130" s="51">
        <v>761643.84</v>
      </c>
      <c r="I130" s="51">
        <v>50000</v>
      </c>
      <c r="J130" s="51">
        <v>0</v>
      </c>
      <c r="K130" s="51">
        <v>0</v>
      </c>
      <c r="L130" s="51">
        <v>711643.84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711643.84</v>
      </c>
    </row>
    <row r="131" spans="1:20" ht="21.75">
      <c r="A131" s="48" t="s">
        <v>554</v>
      </c>
      <c r="B131" s="48" t="s">
        <v>399</v>
      </c>
      <c r="C131" s="51">
        <v>0</v>
      </c>
      <c r="D131" s="51">
        <v>420068.49</v>
      </c>
      <c r="E131" s="51">
        <v>0</v>
      </c>
      <c r="F131" s="51">
        <v>0</v>
      </c>
      <c r="G131" s="51">
        <v>0</v>
      </c>
      <c r="H131" s="51">
        <v>420068.49</v>
      </c>
      <c r="I131" s="51">
        <v>25000</v>
      </c>
      <c r="J131" s="51">
        <v>0</v>
      </c>
      <c r="K131" s="51">
        <v>0</v>
      </c>
      <c r="L131" s="51">
        <v>395068.49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395068.49</v>
      </c>
    </row>
    <row r="132" spans="1:20" ht="21.75">
      <c r="A132" s="48" t="s">
        <v>555</v>
      </c>
      <c r="B132" s="48" t="s">
        <v>413</v>
      </c>
      <c r="C132" s="51">
        <v>0</v>
      </c>
      <c r="D132" s="51">
        <v>1939200</v>
      </c>
      <c r="E132" s="51">
        <v>0</v>
      </c>
      <c r="F132" s="51">
        <v>0</v>
      </c>
      <c r="G132" s="51">
        <v>0</v>
      </c>
      <c r="H132" s="51">
        <v>1939200</v>
      </c>
      <c r="I132" s="51">
        <v>219000</v>
      </c>
      <c r="J132" s="51">
        <v>0</v>
      </c>
      <c r="K132" s="51">
        <v>0</v>
      </c>
      <c r="L132" s="51">
        <f>H132-I132</f>
        <v>1720200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f>L132</f>
        <v>1720200</v>
      </c>
    </row>
    <row r="133" spans="1:20" ht="21.75">
      <c r="A133" s="48" t="s">
        <v>556</v>
      </c>
      <c r="B133" s="48" t="s">
        <v>794</v>
      </c>
      <c r="C133" s="51">
        <v>0</v>
      </c>
      <c r="D133" s="51">
        <v>0</v>
      </c>
      <c r="E133" s="51">
        <v>60000</v>
      </c>
      <c r="F133" s="51">
        <v>60000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</row>
    <row r="134" spans="1:20" ht="21.75">
      <c r="A134" s="48" t="s">
        <v>795</v>
      </c>
      <c r="B134" s="48" t="s">
        <v>796</v>
      </c>
      <c r="C134" s="51">
        <v>0</v>
      </c>
      <c r="D134" s="51">
        <v>0</v>
      </c>
      <c r="E134" s="51">
        <v>70000</v>
      </c>
      <c r="F134" s="51">
        <v>70000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</row>
    <row r="135" spans="1:20" ht="21.75">
      <c r="A135" s="48" t="s">
        <v>267</v>
      </c>
      <c r="B135" s="48" t="s">
        <v>268</v>
      </c>
      <c r="C135" s="51">
        <v>0</v>
      </c>
      <c r="D135" s="51">
        <v>60016250</v>
      </c>
      <c r="E135" s="51">
        <v>4142300</v>
      </c>
      <c r="F135" s="51">
        <v>9288250</v>
      </c>
      <c r="G135" s="51">
        <v>0</v>
      </c>
      <c r="H135" s="51">
        <v>65162200</v>
      </c>
      <c r="I135" s="51">
        <v>0</v>
      </c>
      <c r="J135" s="51">
        <v>0</v>
      </c>
      <c r="K135" s="51">
        <v>0</v>
      </c>
      <c r="L135" s="51">
        <v>65162200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65162200</v>
      </c>
    </row>
    <row r="136" spans="1:20" ht="21.75">
      <c r="A136" s="48" t="s">
        <v>269</v>
      </c>
      <c r="B136" s="48" t="s">
        <v>26</v>
      </c>
      <c r="C136" s="51">
        <v>0</v>
      </c>
      <c r="D136" s="51">
        <v>10013178.47</v>
      </c>
      <c r="E136" s="51">
        <v>0</v>
      </c>
      <c r="F136" s="51">
        <v>2488933</v>
      </c>
      <c r="G136" s="51">
        <v>0</v>
      </c>
      <c r="H136" s="51">
        <v>12502111.47</v>
      </c>
      <c r="I136" s="51">
        <v>0</v>
      </c>
      <c r="J136" s="51">
        <v>0</v>
      </c>
      <c r="K136" s="51">
        <v>0</v>
      </c>
      <c r="L136" s="51">
        <v>12502111.47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12502111.47</v>
      </c>
    </row>
    <row r="137" spans="1:20" ht="21.75">
      <c r="A137" s="48" t="s">
        <v>270</v>
      </c>
      <c r="B137" s="48" t="s">
        <v>116</v>
      </c>
      <c r="C137" s="51">
        <v>0</v>
      </c>
      <c r="D137" s="51">
        <v>195540</v>
      </c>
      <c r="E137" s="51">
        <v>53219</v>
      </c>
      <c r="F137" s="51">
        <v>54000</v>
      </c>
      <c r="G137" s="51">
        <v>0</v>
      </c>
      <c r="H137" s="51">
        <v>196321</v>
      </c>
      <c r="I137" s="51">
        <v>0</v>
      </c>
      <c r="J137" s="51">
        <v>0</v>
      </c>
      <c r="K137" s="51">
        <v>0</v>
      </c>
      <c r="L137" s="51">
        <v>196321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196321</v>
      </c>
    </row>
    <row r="138" spans="1:20" ht="21.75">
      <c r="A138" s="48" t="s">
        <v>271</v>
      </c>
      <c r="B138" s="48" t="s">
        <v>152</v>
      </c>
      <c r="C138" s="51">
        <v>0</v>
      </c>
      <c r="D138" s="51">
        <v>912885.93</v>
      </c>
      <c r="E138" s="51">
        <v>0</v>
      </c>
      <c r="F138" s="51">
        <v>100000</v>
      </c>
      <c r="G138" s="51">
        <v>0</v>
      </c>
      <c r="H138" s="51">
        <v>1012885.93</v>
      </c>
      <c r="I138" s="51">
        <v>0</v>
      </c>
      <c r="J138" s="51">
        <v>0</v>
      </c>
      <c r="K138" s="51">
        <v>0</v>
      </c>
      <c r="L138" s="51">
        <v>1012885.93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1012885.93</v>
      </c>
    </row>
    <row r="139" spans="1:20" ht="21.75">
      <c r="A139" s="48" t="s">
        <v>272</v>
      </c>
      <c r="B139" s="48" t="s">
        <v>153</v>
      </c>
      <c r="C139" s="51">
        <v>0</v>
      </c>
      <c r="D139" s="51">
        <v>1147244</v>
      </c>
      <c r="E139" s="51">
        <v>111553</v>
      </c>
      <c r="F139" s="51">
        <v>327811.5</v>
      </c>
      <c r="G139" s="51">
        <v>0</v>
      </c>
      <c r="H139" s="51">
        <v>1363502.5</v>
      </c>
      <c r="I139" s="51">
        <v>0</v>
      </c>
      <c r="J139" s="51">
        <v>0</v>
      </c>
      <c r="K139" s="51">
        <v>0</v>
      </c>
      <c r="L139" s="51">
        <v>1363502.5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1363502.5</v>
      </c>
    </row>
    <row r="140" spans="1:20" s="57" customFormat="1" ht="21.75">
      <c r="A140" s="55" t="s">
        <v>273</v>
      </c>
      <c r="B140" s="55" t="s">
        <v>154</v>
      </c>
      <c r="C140" s="56">
        <v>0</v>
      </c>
      <c r="D140" s="56">
        <v>2080000</v>
      </c>
      <c r="E140" s="56">
        <v>0</v>
      </c>
      <c r="F140" s="56">
        <v>300000</v>
      </c>
      <c r="G140" s="56">
        <v>0</v>
      </c>
      <c r="H140" s="56">
        <v>2380000</v>
      </c>
      <c r="I140" s="56">
        <v>0</v>
      </c>
      <c r="J140" s="56">
        <v>0</v>
      </c>
      <c r="K140" s="56">
        <v>0</v>
      </c>
      <c r="L140" s="56">
        <v>2380000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2380000</v>
      </c>
    </row>
    <row r="141" spans="1:20" ht="21.75">
      <c r="A141" s="54" t="s">
        <v>274</v>
      </c>
      <c r="B141" s="54" t="s">
        <v>275</v>
      </c>
      <c r="C141" s="53">
        <v>0</v>
      </c>
      <c r="D141" s="53">
        <v>857654</v>
      </c>
      <c r="E141" s="53">
        <v>308657.5</v>
      </c>
      <c r="F141" s="53">
        <v>500000</v>
      </c>
      <c r="G141" s="53">
        <v>0</v>
      </c>
      <c r="H141" s="53">
        <v>1048996.5</v>
      </c>
      <c r="I141" s="53">
        <v>52800</v>
      </c>
      <c r="J141" s="53">
        <v>0</v>
      </c>
      <c r="K141" s="53">
        <v>0</v>
      </c>
      <c r="L141" s="53">
        <f>H141-I141</f>
        <v>996196.5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f>L141</f>
        <v>996196.5</v>
      </c>
    </row>
    <row r="142" spans="1:20" ht="21.75">
      <c r="A142" s="48" t="s">
        <v>797</v>
      </c>
      <c r="B142" s="48" t="s">
        <v>686</v>
      </c>
      <c r="C142" s="51">
        <v>0</v>
      </c>
      <c r="D142" s="51">
        <v>100000</v>
      </c>
      <c r="E142" s="51">
        <v>0</v>
      </c>
      <c r="F142" s="51">
        <v>100000</v>
      </c>
      <c r="G142" s="51">
        <v>0</v>
      </c>
      <c r="H142" s="51">
        <v>200000</v>
      </c>
      <c r="I142" s="51">
        <v>0</v>
      </c>
      <c r="J142" s="51">
        <v>0</v>
      </c>
      <c r="K142" s="51">
        <v>0</v>
      </c>
      <c r="L142" s="51">
        <v>200000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200000</v>
      </c>
    </row>
    <row r="143" spans="1:20" ht="21.75">
      <c r="A143" s="48" t="s">
        <v>276</v>
      </c>
      <c r="B143" s="48" t="s">
        <v>151</v>
      </c>
      <c r="C143" s="51">
        <v>0</v>
      </c>
      <c r="D143" s="51">
        <v>67427.17</v>
      </c>
      <c r="E143" s="51">
        <v>0</v>
      </c>
      <c r="F143" s="51">
        <v>6026</v>
      </c>
      <c r="G143" s="51">
        <v>0</v>
      </c>
      <c r="H143" s="51">
        <v>73453.17</v>
      </c>
      <c r="I143" s="51">
        <v>0</v>
      </c>
      <c r="J143" s="51">
        <v>0</v>
      </c>
      <c r="K143" s="51">
        <v>0</v>
      </c>
      <c r="L143" s="51">
        <v>73453.17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73453.17</v>
      </c>
    </row>
    <row r="144" spans="1:20" ht="21.75">
      <c r="A144" s="48" t="s">
        <v>277</v>
      </c>
      <c r="B144" s="48" t="s">
        <v>190</v>
      </c>
      <c r="C144" s="51">
        <v>0</v>
      </c>
      <c r="D144" s="51">
        <v>8212046.5</v>
      </c>
      <c r="E144" s="51">
        <v>8212046.5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</row>
    <row r="145" spans="1:20" ht="21.75">
      <c r="A145" s="48" t="s">
        <v>278</v>
      </c>
      <c r="B145" s="48" t="s">
        <v>97</v>
      </c>
      <c r="C145" s="51">
        <v>0</v>
      </c>
      <c r="D145" s="51">
        <v>0</v>
      </c>
      <c r="E145" s="51">
        <v>9166106.66</v>
      </c>
      <c r="F145" s="51">
        <v>27588469.32</v>
      </c>
      <c r="G145" s="51">
        <v>0</v>
      </c>
      <c r="H145" s="51">
        <v>18422362.66</v>
      </c>
      <c r="I145" s="51">
        <v>36279.31</v>
      </c>
      <c r="J145" s="51">
        <v>3955246.05</v>
      </c>
      <c r="K145" s="51">
        <v>0</v>
      </c>
      <c r="L145" s="51">
        <v>22341329.4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22341329.4</v>
      </c>
      <c r="S145" s="51">
        <v>0</v>
      </c>
      <c r="T145" s="51">
        <v>0</v>
      </c>
    </row>
    <row r="146" spans="1:20" ht="21.75">
      <c r="A146" s="48" t="s">
        <v>557</v>
      </c>
      <c r="B146" s="48" t="s">
        <v>558</v>
      </c>
      <c r="C146" s="51">
        <v>0</v>
      </c>
      <c r="D146" s="51">
        <v>0</v>
      </c>
      <c r="E146" s="51">
        <v>5702.95</v>
      </c>
      <c r="F146" s="51">
        <v>263730.06</v>
      </c>
      <c r="G146" s="51">
        <v>0</v>
      </c>
      <c r="H146" s="51">
        <v>258027.11</v>
      </c>
      <c r="I146" s="51">
        <v>5702.95</v>
      </c>
      <c r="J146" s="51">
        <v>307886.18</v>
      </c>
      <c r="K146" s="51">
        <v>0</v>
      </c>
      <c r="L146" s="51">
        <v>560210.34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560210.34</v>
      </c>
      <c r="S146" s="51">
        <v>0</v>
      </c>
      <c r="T146" s="51">
        <v>0</v>
      </c>
    </row>
    <row r="147" spans="1:20" ht="21.75">
      <c r="A147" s="48" t="s">
        <v>798</v>
      </c>
      <c r="B147" s="48" t="s">
        <v>672</v>
      </c>
      <c r="C147" s="51">
        <v>0</v>
      </c>
      <c r="D147" s="51">
        <v>0</v>
      </c>
      <c r="E147" s="51">
        <v>0</v>
      </c>
      <c r="F147" s="51"/>
      <c r="G147" s="51"/>
      <c r="H147" s="51">
        <v>0</v>
      </c>
      <c r="I147" s="51"/>
      <c r="J147" s="51"/>
      <c r="K147" s="51">
        <f>I147-J147</f>
        <v>0</v>
      </c>
      <c r="L147" s="51"/>
      <c r="M147" s="51">
        <v>0</v>
      </c>
      <c r="N147" s="51">
        <v>0</v>
      </c>
      <c r="O147" s="51">
        <v>0</v>
      </c>
      <c r="P147" s="51">
        <v>0</v>
      </c>
      <c r="Q147" s="51">
        <f>K147</f>
        <v>0</v>
      </c>
      <c r="R147" s="51"/>
      <c r="S147" s="51">
        <v>0</v>
      </c>
      <c r="T147" s="51">
        <v>0</v>
      </c>
    </row>
    <row r="148" spans="1:20" ht="21.75">
      <c r="A148" s="48" t="s">
        <v>799</v>
      </c>
      <c r="B148" s="48" t="s">
        <v>589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203841.09</v>
      </c>
      <c r="K148" s="51">
        <v>0</v>
      </c>
      <c r="L148" s="51">
        <v>203841.09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203841.09</v>
      </c>
      <c r="S148" s="51">
        <v>0</v>
      </c>
      <c r="T148" s="51">
        <v>0</v>
      </c>
    </row>
    <row r="149" spans="1:20" ht="21.75">
      <c r="A149" s="48" t="s">
        <v>559</v>
      </c>
      <c r="B149" s="48" t="s">
        <v>405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41982.26</v>
      </c>
      <c r="K149" s="51">
        <v>0</v>
      </c>
      <c r="L149" s="51">
        <v>41982.26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41982.26</v>
      </c>
      <c r="S149" s="51">
        <v>0</v>
      </c>
      <c r="T149" s="51">
        <v>0</v>
      </c>
    </row>
    <row r="150" spans="1:20" s="307" customFormat="1" ht="21.75">
      <c r="A150" s="305" t="s">
        <v>280</v>
      </c>
      <c r="B150" s="305" t="s">
        <v>281</v>
      </c>
      <c r="C150" s="306">
        <v>0</v>
      </c>
      <c r="D150" s="306">
        <v>0</v>
      </c>
      <c r="E150" s="306">
        <v>0</v>
      </c>
      <c r="F150" s="306">
        <v>20925410.75</v>
      </c>
      <c r="G150" s="306">
        <v>0</v>
      </c>
      <c r="H150" s="306">
        <v>20925410.75</v>
      </c>
      <c r="I150" s="306">
        <v>17940</v>
      </c>
      <c r="J150" s="306">
        <v>0</v>
      </c>
      <c r="K150" s="306">
        <v>0</v>
      </c>
      <c r="L150" s="306">
        <f>+H150-I150</f>
        <v>20907470.75</v>
      </c>
      <c r="M150" s="306">
        <v>0</v>
      </c>
      <c r="N150" s="306">
        <v>0</v>
      </c>
      <c r="O150" s="306">
        <v>0</v>
      </c>
      <c r="P150" s="306">
        <v>0</v>
      </c>
      <c r="Q150" s="306">
        <v>0</v>
      </c>
      <c r="R150" s="306">
        <f>+L150</f>
        <v>20907470.75</v>
      </c>
      <c r="S150" s="306">
        <v>0</v>
      </c>
      <c r="T150" s="306">
        <v>0</v>
      </c>
    </row>
    <row r="151" spans="1:20" ht="21.75">
      <c r="A151" s="48" t="s">
        <v>560</v>
      </c>
      <c r="B151" s="48" t="s">
        <v>561</v>
      </c>
      <c r="C151" s="51">
        <v>0</v>
      </c>
      <c r="D151" s="51">
        <v>0</v>
      </c>
      <c r="E151" s="51">
        <v>0</v>
      </c>
      <c r="F151" s="51">
        <v>112718339.1</v>
      </c>
      <c r="G151" s="51">
        <v>0</v>
      </c>
      <c r="H151" s="51">
        <v>112718339.1</v>
      </c>
      <c r="I151" s="51">
        <v>0</v>
      </c>
      <c r="J151" s="51">
        <v>0</v>
      </c>
      <c r="K151" s="51">
        <v>0</v>
      </c>
      <c r="L151" s="51">
        <v>112718339.1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112718339.1</v>
      </c>
      <c r="S151" s="51">
        <v>0</v>
      </c>
      <c r="T151" s="51">
        <v>0</v>
      </c>
    </row>
    <row r="152" spans="1:20" ht="21.75">
      <c r="A152" s="48" t="s">
        <v>562</v>
      </c>
      <c r="B152" s="48" t="s">
        <v>344</v>
      </c>
      <c r="C152" s="51">
        <v>0</v>
      </c>
      <c r="D152" s="51">
        <v>0</v>
      </c>
      <c r="E152" s="51">
        <v>0</v>
      </c>
      <c r="F152" s="51">
        <v>3770.92</v>
      </c>
      <c r="G152" s="51">
        <v>0</v>
      </c>
      <c r="H152" s="51">
        <v>3770.92</v>
      </c>
      <c r="I152" s="51">
        <v>0</v>
      </c>
      <c r="J152" s="51">
        <v>0</v>
      </c>
      <c r="K152" s="51">
        <v>0</v>
      </c>
      <c r="L152" s="51">
        <v>3770.92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3770.92</v>
      </c>
      <c r="S152" s="51">
        <v>0</v>
      </c>
      <c r="T152" s="51">
        <v>0</v>
      </c>
    </row>
    <row r="153" spans="1:20" ht="21.75">
      <c r="A153" s="48" t="s">
        <v>563</v>
      </c>
      <c r="B153" s="48" t="s">
        <v>414</v>
      </c>
      <c r="C153" s="51">
        <v>0</v>
      </c>
      <c r="D153" s="51">
        <v>0</v>
      </c>
      <c r="E153" s="51">
        <v>0</v>
      </c>
      <c r="F153" s="51">
        <v>173266.04</v>
      </c>
      <c r="G153" s="51">
        <v>0</v>
      </c>
      <c r="H153" s="51">
        <v>173266.04</v>
      </c>
      <c r="I153" s="51">
        <v>0</v>
      </c>
      <c r="J153" s="51">
        <v>0</v>
      </c>
      <c r="K153" s="51">
        <v>0</v>
      </c>
      <c r="L153" s="51">
        <v>173266.04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173266.04</v>
      </c>
      <c r="S153" s="51">
        <v>0</v>
      </c>
      <c r="T153" s="51">
        <v>0</v>
      </c>
    </row>
    <row r="154" spans="1:20" ht="21.75">
      <c r="A154" s="48" t="s">
        <v>564</v>
      </c>
      <c r="B154" s="48" t="s">
        <v>282</v>
      </c>
      <c r="C154" s="51">
        <v>0</v>
      </c>
      <c r="D154" s="51">
        <v>0</v>
      </c>
      <c r="E154" s="51">
        <v>1000</v>
      </c>
      <c r="F154" s="51">
        <v>88030</v>
      </c>
      <c r="G154" s="51">
        <v>0</v>
      </c>
      <c r="H154" s="51">
        <v>87030</v>
      </c>
      <c r="I154" s="51">
        <v>0</v>
      </c>
      <c r="J154" s="51">
        <v>0</v>
      </c>
      <c r="K154" s="51">
        <v>0</v>
      </c>
      <c r="L154" s="51">
        <v>87030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87030</v>
      </c>
      <c r="S154" s="51">
        <v>0</v>
      </c>
      <c r="T154" s="51">
        <v>0</v>
      </c>
    </row>
    <row r="155" spans="1:20" ht="21.75">
      <c r="A155" s="48" t="s">
        <v>565</v>
      </c>
      <c r="B155" s="48" t="s">
        <v>566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25000</v>
      </c>
      <c r="K155" s="51">
        <v>0</v>
      </c>
      <c r="L155" s="51">
        <v>25000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25000</v>
      </c>
      <c r="S155" s="51">
        <v>0</v>
      </c>
      <c r="T155" s="51">
        <v>0</v>
      </c>
    </row>
    <row r="156" spans="1:20" ht="21.75">
      <c r="A156" s="48" t="s">
        <v>567</v>
      </c>
      <c r="B156" s="48" t="s">
        <v>351</v>
      </c>
      <c r="C156" s="51">
        <v>0</v>
      </c>
      <c r="D156" s="51">
        <v>0</v>
      </c>
      <c r="E156" s="51">
        <v>0</v>
      </c>
      <c r="F156" s="51">
        <v>402205.55</v>
      </c>
      <c r="G156" s="51">
        <v>0</v>
      </c>
      <c r="H156" s="51">
        <v>402205.55</v>
      </c>
      <c r="I156" s="51">
        <v>13445</v>
      </c>
      <c r="J156" s="51">
        <v>9990</v>
      </c>
      <c r="K156" s="51">
        <v>0</v>
      </c>
      <c r="L156" s="51">
        <f>H156+J156-I156</f>
        <v>398750.55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f>L156</f>
        <v>398750.55</v>
      </c>
      <c r="S156" s="51">
        <v>0</v>
      </c>
      <c r="T156" s="51">
        <v>0</v>
      </c>
    </row>
    <row r="157" spans="1:20" ht="21.75">
      <c r="A157" s="48" t="s">
        <v>568</v>
      </c>
      <c r="B157" s="48" t="s">
        <v>569</v>
      </c>
      <c r="C157" s="51">
        <v>0</v>
      </c>
      <c r="D157" s="51">
        <v>0</v>
      </c>
      <c r="E157" s="51">
        <v>0</v>
      </c>
      <c r="F157" s="51">
        <v>2551.43</v>
      </c>
      <c r="G157" s="51">
        <v>0</v>
      </c>
      <c r="H157" s="51">
        <v>2551.43</v>
      </c>
      <c r="I157" s="51"/>
      <c r="J157" s="51"/>
      <c r="K157" s="51">
        <v>0</v>
      </c>
      <c r="L157" s="51">
        <f>H157+J157-I157</f>
        <v>2551.43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2551.43</v>
      </c>
      <c r="S157" s="51">
        <v>0</v>
      </c>
      <c r="T157" s="51">
        <v>0</v>
      </c>
    </row>
    <row r="158" spans="1:20" ht="21.75">
      <c r="A158" s="48" t="s">
        <v>570</v>
      </c>
      <c r="B158" s="48" t="s">
        <v>352</v>
      </c>
      <c r="C158" s="51">
        <v>0</v>
      </c>
      <c r="D158" s="51">
        <v>0</v>
      </c>
      <c r="E158" s="51">
        <v>13567</v>
      </c>
      <c r="F158" s="51">
        <v>122</v>
      </c>
      <c r="G158" s="51">
        <v>13445</v>
      </c>
      <c r="H158" s="51">
        <v>0</v>
      </c>
      <c r="I158" s="51">
        <v>9990</v>
      </c>
      <c r="J158" s="51">
        <f>13445+9990</f>
        <v>23435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</row>
    <row r="159" spans="1:20" ht="21.75">
      <c r="A159" s="48" t="s">
        <v>571</v>
      </c>
      <c r="B159" s="48" t="s">
        <v>401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50000</v>
      </c>
      <c r="K159" s="51">
        <v>0</v>
      </c>
      <c r="L159" s="51">
        <v>50000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50000</v>
      </c>
      <c r="S159" s="51">
        <v>0</v>
      </c>
      <c r="T159" s="51">
        <v>0</v>
      </c>
    </row>
    <row r="160" spans="1:20" ht="21.75">
      <c r="A160" s="48" t="s">
        <v>677</v>
      </c>
      <c r="B160" s="48" t="s">
        <v>400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65000</v>
      </c>
      <c r="K160" s="51">
        <v>0</v>
      </c>
      <c r="L160" s="51">
        <v>65000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65000</v>
      </c>
      <c r="S160" s="51">
        <v>0</v>
      </c>
      <c r="T160" s="51">
        <v>0</v>
      </c>
    </row>
    <row r="161" spans="1:20" ht="21.75">
      <c r="A161" s="48" t="s">
        <v>572</v>
      </c>
      <c r="B161" s="48" t="s">
        <v>573</v>
      </c>
      <c r="C161" s="51">
        <v>0</v>
      </c>
      <c r="D161" s="51">
        <v>0</v>
      </c>
      <c r="E161" s="51">
        <v>0</v>
      </c>
      <c r="F161" s="51">
        <v>77390221</v>
      </c>
      <c r="G161" s="51">
        <v>0</v>
      </c>
      <c r="H161" s="51">
        <v>77390221</v>
      </c>
      <c r="I161" s="51">
        <v>0</v>
      </c>
      <c r="J161" s="51">
        <v>0</v>
      </c>
      <c r="K161" s="51">
        <v>0</v>
      </c>
      <c r="L161" s="51">
        <v>77390221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77390221</v>
      </c>
      <c r="S161" s="51">
        <v>0</v>
      </c>
      <c r="T161" s="51">
        <v>0</v>
      </c>
    </row>
    <row r="162" spans="1:20" ht="21.75">
      <c r="A162" s="48" t="s">
        <v>283</v>
      </c>
      <c r="B162" s="48" t="s">
        <v>284</v>
      </c>
      <c r="C162" s="51">
        <v>0</v>
      </c>
      <c r="D162" s="51">
        <v>0</v>
      </c>
      <c r="E162" s="51">
        <v>45021.51</v>
      </c>
      <c r="F162" s="51">
        <v>45021.51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</row>
    <row r="163" spans="1:20" s="57" customFormat="1" ht="21.75">
      <c r="A163" s="55" t="s">
        <v>574</v>
      </c>
      <c r="B163" s="55" t="s">
        <v>415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219000</v>
      </c>
      <c r="K163" s="56">
        <v>0</v>
      </c>
      <c r="L163" s="56">
        <f>J163</f>
        <v>219000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f>L163</f>
        <v>219000</v>
      </c>
      <c r="S163" s="56">
        <v>0</v>
      </c>
      <c r="T163" s="56">
        <v>0</v>
      </c>
    </row>
    <row r="164" spans="1:20" ht="21.75">
      <c r="A164" s="54" t="s">
        <v>678</v>
      </c>
      <c r="B164" s="54" t="s">
        <v>284</v>
      </c>
      <c r="C164" s="53">
        <v>0</v>
      </c>
      <c r="D164" s="53">
        <v>0</v>
      </c>
      <c r="E164" s="53">
        <v>0</v>
      </c>
      <c r="F164" s="53">
        <v>283647.7</v>
      </c>
      <c r="G164" s="53">
        <v>0</v>
      </c>
      <c r="H164" s="53">
        <v>283647.7</v>
      </c>
      <c r="I164" s="53">
        <v>48411.24</v>
      </c>
      <c r="J164" s="53">
        <v>0</v>
      </c>
      <c r="K164" s="53">
        <v>0</v>
      </c>
      <c r="L164" s="53">
        <f>H164-I164</f>
        <v>235236.46000000002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f>L164</f>
        <v>235236.46000000002</v>
      </c>
      <c r="S164" s="53">
        <v>0</v>
      </c>
      <c r="T164" s="53">
        <v>0</v>
      </c>
    </row>
    <row r="165" spans="1:20" ht="21.75">
      <c r="A165" s="48" t="s">
        <v>679</v>
      </c>
      <c r="B165" s="48" t="s">
        <v>800</v>
      </c>
      <c r="C165" s="51">
        <v>0</v>
      </c>
      <c r="D165" s="51">
        <v>0</v>
      </c>
      <c r="E165" s="51">
        <v>0</v>
      </c>
      <c r="F165" s="51">
        <v>5143.9</v>
      </c>
      <c r="G165" s="51">
        <v>0</v>
      </c>
      <c r="H165" s="51">
        <v>5143.9</v>
      </c>
      <c r="I165" s="51">
        <v>0</v>
      </c>
      <c r="J165" s="51">
        <v>0</v>
      </c>
      <c r="K165" s="51">
        <v>0</v>
      </c>
      <c r="L165" s="51">
        <v>5143.9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5143.9</v>
      </c>
      <c r="S165" s="51">
        <v>0</v>
      </c>
      <c r="T165" s="51">
        <v>0</v>
      </c>
    </row>
    <row r="166" spans="1:20" ht="21.75">
      <c r="A166" s="48" t="s">
        <v>575</v>
      </c>
      <c r="B166" s="48" t="s">
        <v>576</v>
      </c>
      <c r="C166" s="51">
        <v>0</v>
      </c>
      <c r="D166" s="51">
        <v>0</v>
      </c>
      <c r="E166" s="51">
        <v>46.73</v>
      </c>
      <c r="F166" s="51">
        <v>46.73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</row>
    <row r="167" spans="1:20" ht="21.75">
      <c r="A167" s="48" t="s">
        <v>285</v>
      </c>
      <c r="B167" s="48" t="s">
        <v>577</v>
      </c>
      <c r="C167" s="51">
        <v>0</v>
      </c>
      <c r="D167" s="51">
        <v>0</v>
      </c>
      <c r="E167" s="51">
        <v>0</v>
      </c>
      <c r="F167" s="51">
        <v>44079.39</v>
      </c>
      <c r="G167" s="51">
        <v>0</v>
      </c>
      <c r="H167" s="51">
        <v>44079.39</v>
      </c>
      <c r="I167" s="51">
        <v>2.15</v>
      </c>
      <c r="J167" s="51">
        <f>724.28+0.02</f>
        <v>724.3</v>
      </c>
      <c r="K167" s="51">
        <v>0</v>
      </c>
      <c r="L167" s="51">
        <f>H167+J167-I167</f>
        <v>44801.54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f>L167</f>
        <v>44801.54</v>
      </c>
      <c r="S167" s="51">
        <v>0</v>
      </c>
      <c r="T167" s="51">
        <v>0</v>
      </c>
    </row>
    <row r="168" spans="1:20" ht="21.75">
      <c r="A168" s="48" t="s">
        <v>286</v>
      </c>
      <c r="B168" s="48" t="s">
        <v>40</v>
      </c>
      <c r="C168" s="51">
        <v>0</v>
      </c>
      <c r="D168" s="51">
        <v>0</v>
      </c>
      <c r="E168" s="51">
        <v>0</v>
      </c>
      <c r="F168" s="51">
        <v>7523.53</v>
      </c>
      <c r="G168" s="51">
        <v>0</v>
      </c>
      <c r="H168" s="51">
        <v>7523.53</v>
      </c>
      <c r="I168" s="51">
        <v>0</v>
      </c>
      <c r="J168" s="51">
        <v>0</v>
      </c>
      <c r="K168" s="51">
        <v>0</v>
      </c>
      <c r="L168" s="51">
        <v>7523.53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7523.53</v>
      </c>
      <c r="S168" s="51">
        <v>0</v>
      </c>
      <c r="T168" s="51">
        <v>0</v>
      </c>
    </row>
    <row r="169" spans="1:20" ht="21.75">
      <c r="A169" s="48" t="s">
        <v>287</v>
      </c>
      <c r="B169" s="48" t="s">
        <v>578</v>
      </c>
      <c r="C169" s="51">
        <v>0</v>
      </c>
      <c r="D169" s="51">
        <v>0</v>
      </c>
      <c r="E169" s="51">
        <v>0</v>
      </c>
      <c r="F169" s="51">
        <v>15886.8</v>
      </c>
      <c r="G169" s="51">
        <v>0</v>
      </c>
      <c r="H169" s="51">
        <v>15886.8</v>
      </c>
      <c r="I169" s="51">
        <v>0</v>
      </c>
      <c r="J169" s="51">
        <v>48411.24</v>
      </c>
      <c r="K169" s="51">
        <v>0</v>
      </c>
      <c r="L169" s="51">
        <f>H169+J169</f>
        <v>64298.03999999999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f>L169</f>
        <v>64298.03999999999</v>
      </c>
      <c r="S169" s="51">
        <v>0</v>
      </c>
      <c r="T169" s="51">
        <v>0</v>
      </c>
    </row>
    <row r="170" spans="1:20" ht="21.75">
      <c r="A170" s="48" t="s">
        <v>288</v>
      </c>
      <c r="B170" s="48" t="s">
        <v>579</v>
      </c>
      <c r="C170" s="51">
        <v>0</v>
      </c>
      <c r="D170" s="51">
        <v>0</v>
      </c>
      <c r="E170" s="51">
        <v>0</v>
      </c>
      <c r="F170" s="51">
        <v>14485.99</v>
      </c>
      <c r="G170" s="51">
        <v>0</v>
      </c>
      <c r="H170" s="51">
        <v>14485.99</v>
      </c>
      <c r="I170" s="51">
        <v>0</v>
      </c>
      <c r="J170" s="51">
        <v>0</v>
      </c>
      <c r="K170" s="51">
        <v>0</v>
      </c>
      <c r="L170" s="51">
        <v>14485.99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14485.99</v>
      </c>
      <c r="S170" s="51">
        <v>0</v>
      </c>
      <c r="T170" s="51">
        <v>0</v>
      </c>
    </row>
    <row r="171" spans="1:20" ht="21.75">
      <c r="A171" s="48" t="s">
        <v>289</v>
      </c>
      <c r="B171" s="48" t="s">
        <v>170</v>
      </c>
      <c r="C171" s="51">
        <v>0</v>
      </c>
      <c r="D171" s="51">
        <v>0</v>
      </c>
      <c r="E171" s="51">
        <v>0</v>
      </c>
      <c r="F171" s="51">
        <v>12000</v>
      </c>
      <c r="G171" s="51">
        <v>0</v>
      </c>
      <c r="H171" s="51">
        <v>12000</v>
      </c>
      <c r="I171" s="51">
        <v>0</v>
      </c>
      <c r="J171" s="51">
        <v>0</v>
      </c>
      <c r="K171" s="51">
        <v>0</v>
      </c>
      <c r="L171" s="51">
        <v>12000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12000</v>
      </c>
      <c r="S171" s="51">
        <v>0</v>
      </c>
      <c r="T171" s="51">
        <v>0</v>
      </c>
    </row>
    <row r="172" spans="1:20" ht="21.75">
      <c r="A172" s="48" t="s">
        <v>290</v>
      </c>
      <c r="B172" s="48" t="s">
        <v>169</v>
      </c>
      <c r="C172" s="51">
        <v>0</v>
      </c>
      <c r="D172" s="51">
        <v>0</v>
      </c>
      <c r="E172" s="51">
        <v>0</v>
      </c>
      <c r="F172" s="51">
        <v>1204.87</v>
      </c>
      <c r="G172" s="51">
        <v>0</v>
      </c>
      <c r="H172" s="51">
        <v>1204.87</v>
      </c>
      <c r="I172" s="51">
        <v>0</v>
      </c>
      <c r="J172" s="51">
        <v>1388993.27</v>
      </c>
      <c r="K172" s="51">
        <v>0</v>
      </c>
      <c r="L172" s="51">
        <v>1390198.14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1390198.14</v>
      </c>
      <c r="S172" s="51">
        <v>0</v>
      </c>
      <c r="T172" s="51">
        <v>0</v>
      </c>
    </row>
    <row r="173" spans="1:20" ht="21.75">
      <c r="A173" s="48" t="s">
        <v>580</v>
      </c>
      <c r="B173" s="48" t="s">
        <v>581</v>
      </c>
      <c r="C173" s="51">
        <v>0</v>
      </c>
      <c r="D173" s="51">
        <v>0</v>
      </c>
      <c r="E173" s="51">
        <v>0</v>
      </c>
      <c r="F173" s="51">
        <v>25992.06</v>
      </c>
      <c r="G173" s="51">
        <v>0</v>
      </c>
      <c r="H173" s="51">
        <v>25992.06</v>
      </c>
      <c r="I173" s="51">
        <v>0</v>
      </c>
      <c r="J173" s="51">
        <v>0</v>
      </c>
      <c r="K173" s="51">
        <v>0</v>
      </c>
      <c r="L173" s="51">
        <v>25992.06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25992.06</v>
      </c>
      <c r="S173" s="51">
        <v>0</v>
      </c>
      <c r="T173" s="51">
        <v>0</v>
      </c>
    </row>
    <row r="174" spans="1:20" ht="21.75">
      <c r="A174" s="48" t="s">
        <v>582</v>
      </c>
      <c r="B174" s="48" t="s">
        <v>354</v>
      </c>
      <c r="C174" s="51">
        <v>0</v>
      </c>
      <c r="D174" s="51">
        <v>0</v>
      </c>
      <c r="E174" s="51">
        <v>0</v>
      </c>
      <c r="F174" s="51">
        <v>57100</v>
      </c>
      <c r="G174" s="51">
        <v>0</v>
      </c>
      <c r="H174" s="51">
        <v>57100</v>
      </c>
      <c r="I174" s="51">
        <v>0</v>
      </c>
      <c r="J174" s="51">
        <v>0</v>
      </c>
      <c r="K174" s="51">
        <v>0</v>
      </c>
      <c r="L174" s="51">
        <v>57100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57100</v>
      </c>
      <c r="S174" s="51">
        <v>0</v>
      </c>
      <c r="T174" s="51">
        <v>0</v>
      </c>
    </row>
    <row r="175" spans="1:20" ht="21.75">
      <c r="A175" s="48" t="s">
        <v>583</v>
      </c>
      <c r="B175" s="48" t="s">
        <v>279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61323.69</v>
      </c>
      <c r="K175" s="51">
        <v>0</v>
      </c>
      <c r="L175" s="51">
        <v>61323.69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61323.69</v>
      </c>
      <c r="S175" s="51">
        <v>0</v>
      </c>
      <c r="T175" s="51">
        <v>0</v>
      </c>
    </row>
    <row r="176" spans="1:20" ht="21.75">
      <c r="A176" s="48" t="s">
        <v>584</v>
      </c>
      <c r="B176" s="48" t="s">
        <v>585</v>
      </c>
      <c r="C176" s="51">
        <v>0</v>
      </c>
      <c r="D176" s="51">
        <v>0</v>
      </c>
      <c r="E176" s="51">
        <v>0</v>
      </c>
      <c r="F176" s="51">
        <v>20400</v>
      </c>
      <c r="G176" s="51">
        <v>0</v>
      </c>
      <c r="H176" s="51">
        <v>20400</v>
      </c>
      <c r="I176" s="51">
        <v>0</v>
      </c>
      <c r="J176" s="51">
        <v>0</v>
      </c>
      <c r="K176" s="51">
        <v>0</v>
      </c>
      <c r="L176" s="51">
        <v>20400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20400</v>
      </c>
      <c r="S176" s="51">
        <v>0</v>
      </c>
      <c r="T176" s="51">
        <v>0</v>
      </c>
    </row>
    <row r="177" spans="1:20" ht="21.75">
      <c r="A177" s="48" t="s">
        <v>801</v>
      </c>
      <c r="B177" s="48" t="s">
        <v>802</v>
      </c>
      <c r="C177" s="51">
        <v>0</v>
      </c>
      <c r="D177" s="51">
        <v>0</v>
      </c>
      <c r="E177" s="51">
        <v>0</v>
      </c>
      <c r="F177" s="51">
        <v>28028</v>
      </c>
      <c r="G177" s="51">
        <v>0</v>
      </c>
      <c r="H177" s="51">
        <v>28028</v>
      </c>
      <c r="I177" s="51">
        <v>0</v>
      </c>
      <c r="J177" s="51">
        <v>0</v>
      </c>
      <c r="K177" s="51">
        <v>0</v>
      </c>
      <c r="L177" s="51">
        <v>28028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28028</v>
      </c>
      <c r="S177" s="51">
        <v>0</v>
      </c>
      <c r="T177" s="51">
        <v>0</v>
      </c>
    </row>
    <row r="178" spans="1:20" ht="21.75">
      <c r="A178" s="48" t="s">
        <v>291</v>
      </c>
      <c r="B178" s="48" t="s">
        <v>586</v>
      </c>
      <c r="C178" s="51">
        <v>0</v>
      </c>
      <c r="D178" s="51">
        <v>0</v>
      </c>
      <c r="E178" s="51">
        <v>5215394.11</v>
      </c>
      <c r="F178" s="51">
        <v>0</v>
      </c>
      <c r="G178" s="51">
        <v>5215394.11</v>
      </c>
      <c r="H178" s="51">
        <v>0</v>
      </c>
      <c r="I178" s="51">
        <v>14931.51</v>
      </c>
      <c r="J178" s="51">
        <v>0</v>
      </c>
      <c r="K178" s="51">
        <v>5230325.62</v>
      </c>
      <c r="L178" s="51">
        <v>0</v>
      </c>
      <c r="M178" s="51">
        <v>0</v>
      </c>
      <c r="N178" s="51">
        <v>0</v>
      </c>
      <c r="O178" s="51">
        <v>5230325.62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</row>
    <row r="179" spans="1:20" ht="21.75">
      <c r="A179" s="48" t="s">
        <v>676</v>
      </c>
      <c r="B179" s="48" t="s">
        <v>672</v>
      </c>
      <c r="C179" s="51">
        <v>0</v>
      </c>
      <c r="D179" s="51">
        <v>0</v>
      </c>
      <c r="E179" s="51"/>
      <c r="F179" s="51">
        <v>0</v>
      </c>
      <c r="G179" s="51">
        <v>0</v>
      </c>
      <c r="H179" s="51"/>
      <c r="I179" s="51">
        <v>1020170.35</v>
      </c>
      <c r="J179" s="51">
        <v>0</v>
      </c>
      <c r="K179" s="51">
        <f>I179</f>
        <v>1020170.35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f>K179</f>
        <v>1020170.35</v>
      </c>
      <c r="R179" s="51">
        <v>0</v>
      </c>
      <c r="S179" s="51">
        <v>0</v>
      </c>
      <c r="T179" s="51">
        <v>0</v>
      </c>
    </row>
    <row r="180" spans="1:20" ht="21.75">
      <c r="A180" s="48" t="s">
        <v>587</v>
      </c>
      <c r="B180" s="48" t="s">
        <v>588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f>561711.83+0.01</f>
        <v>561711.84</v>
      </c>
      <c r="J180" s="51">
        <v>0</v>
      </c>
      <c r="K180" s="51">
        <f>I180</f>
        <v>561711.84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f>K180</f>
        <v>561711.84</v>
      </c>
      <c r="R180" s="51">
        <v>0</v>
      </c>
      <c r="S180" s="51">
        <v>0</v>
      </c>
      <c r="T180" s="51">
        <v>0</v>
      </c>
    </row>
    <row r="181" spans="1:20" ht="21.75">
      <c r="A181" s="48" t="s">
        <v>803</v>
      </c>
      <c r="B181" s="48" t="s">
        <v>292</v>
      </c>
      <c r="C181" s="51">
        <v>0</v>
      </c>
      <c r="D181" s="51">
        <v>0</v>
      </c>
      <c r="E181" s="51"/>
      <c r="F181" s="51">
        <v>0</v>
      </c>
      <c r="G181" s="51">
        <v>0</v>
      </c>
      <c r="H181" s="51"/>
      <c r="I181" s="51"/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</row>
    <row r="182" spans="1:20" ht="21.75">
      <c r="A182" s="48" t="s">
        <v>804</v>
      </c>
      <c r="B182" s="48" t="s">
        <v>805</v>
      </c>
      <c r="C182" s="51">
        <v>0</v>
      </c>
      <c r="D182" s="51">
        <v>0</v>
      </c>
      <c r="E182" s="51">
        <v>251900</v>
      </c>
      <c r="F182" s="51">
        <v>0</v>
      </c>
      <c r="G182" s="51">
        <v>251900</v>
      </c>
      <c r="H182" s="51">
        <v>0</v>
      </c>
      <c r="I182" s="51">
        <v>0</v>
      </c>
      <c r="J182" s="51">
        <v>0</v>
      </c>
      <c r="K182" s="51">
        <v>251900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251900</v>
      </c>
      <c r="R182" s="51">
        <v>0</v>
      </c>
      <c r="S182" s="51">
        <v>0</v>
      </c>
      <c r="T182" s="51">
        <v>0</v>
      </c>
    </row>
    <row r="183" spans="1:20" ht="21.75">
      <c r="A183" s="48" t="s">
        <v>293</v>
      </c>
      <c r="B183" s="48" t="s">
        <v>590</v>
      </c>
      <c r="C183" s="51">
        <v>0</v>
      </c>
      <c r="D183" s="51">
        <v>0</v>
      </c>
      <c r="E183" s="51">
        <v>292440</v>
      </c>
      <c r="F183" s="51">
        <v>0</v>
      </c>
      <c r="G183" s="51">
        <v>292440</v>
      </c>
      <c r="H183" s="51">
        <v>0</v>
      </c>
      <c r="I183" s="51">
        <v>0</v>
      </c>
      <c r="J183" s="51">
        <v>0</v>
      </c>
      <c r="K183" s="51">
        <v>292440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292440</v>
      </c>
      <c r="R183" s="51">
        <v>0</v>
      </c>
      <c r="S183" s="51">
        <v>0</v>
      </c>
      <c r="T183" s="51">
        <v>0</v>
      </c>
    </row>
    <row r="184" spans="1:20" ht="21.75">
      <c r="A184" s="48" t="s">
        <v>294</v>
      </c>
      <c r="B184" s="48" t="s">
        <v>295</v>
      </c>
      <c r="C184" s="51">
        <v>0</v>
      </c>
      <c r="D184" s="51">
        <v>0</v>
      </c>
      <c r="E184" s="51">
        <f>20313520.31</f>
        <v>20313520.31</v>
      </c>
      <c r="F184" s="51">
        <v>0</v>
      </c>
      <c r="G184" s="51">
        <f>E184</f>
        <v>20313520.31</v>
      </c>
      <c r="H184" s="51">
        <v>0</v>
      </c>
      <c r="I184" s="51">
        <v>0</v>
      </c>
      <c r="J184" s="51">
        <v>0</v>
      </c>
      <c r="K184" s="51">
        <f>G184</f>
        <v>20313520.31</v>
      </c>
      <c r="L184" s="51">
        <v>0</v>
      </c>
      <c r="M184" s="51">
        <v>0</v>
      </c>
      <c r="N184" s="51">
        <v>0</v>
      </c>
      <c r="O184" s="51">
        <f>K184</f>
        <v>20313520.31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</row>
    <row r="185" spans="1:20" ht="21.75">
      <c r="A185" s="48" t="s">
        <v>591</v>
      </c>
      <c r="B185" s="48" t="s">
        <v>592</v>
      </c>
      <c r="C185" s="51">
        <v>0</v>
      </c>
      <c r="D185" s="51">
        <v>0</v>
      </c>
      <c r="E185" s="51">
        <v>107286407.65</v>
      </c>
      <c r="F185" s="51">
        <v>0</v>
      </c>
      <c r="G185" s="51">
        <v>107286407.65</v>
      </c>
      <c r="H185" s="51">
        <v>0</v>
      </c>
      <c r="I185" s="51">
        <v>0</v>
      </c>
      <c r="J185" s="51">
        <v>0</v>
      </c>
      <c r="K185" s="51">
        <v>107286407.65</v>
      </c>
      <c r="L185" s="51">
        <v>0</v>
      </c>
      <c r="M185" s="51">
        <v>0</v>
      </c>
      <c r="N185" s="51">
        <v>0</v>
      </c>
      <c r="O185" s="51">
        <v>107286407.65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</row>
    <row r="186" spans="1:20" s="57" customFormat="1" ht="21.75">
      <c r="A186" s="55" t="s">
        <v>593</v>
      </c>
      <c r="B186" s="55" t="s">
        <v>594</v>
      </c>
      <c r="C186" s="56">
        <v>0</v>
      </c>
      <c r="D186" s="56">
        <v>0</v>
      </c>
      <c r="E186" s="56">
        <v>3617.99</v>
      </c>
      <c r="F186" s="56">
        <v>0</v>
      </c>
      <c r="G186" s="56">
        <v>3617.99</v>
      </c>
      <c r="H186" s="56">
        <v>0</v>
      </c>
      <c r="I186" s="56">
        <v>0</v>
      </c>
      <c r="J186" s="56">
        <v>0</v>
      </c>
      <c r="K186" s="56">
        <v>3617.99</v>
      </c>
      <c r="L186" s="56">
        <v>0</v>
      </c>
      <c r="M186" s="56">
        <v>0</v>
      </c>
      <c r="N186" s="56">
        <v>0</v>
      </c>
      <c r="O186" s="56">
        <v>3617.99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</row>
    <row r="187" spans="1:20" ht="21.75">
      <c r="A187" s="54" t="s">
        <v>595</v>
      </c>
      <c r="B187" s="54" t="s">
        <v>296</v>
      </c>
      <c r="C187" s="53">
        <v>0</v>
      </c>
      <c r="D187" s="53">
        <v>0</v>
      </c>
      <c r="E187" s="53">
        <v>0</v>
      </c>
      <c r="F187" s="53">
        <v>280110.76</v>
      </c>
      <c r="G187" s="53">
        <v>0</v>
      </c>
      <c r="H187" s="53">
        <v>280110.76</v>
      </c>
      <c r="I187" s="53">
        <v>0</v>
      </c>
      <c r="J187" s="53">
        <v>0</v>
      </c>
      <c r="K187" s="53">
        <v>0</v>
      </c>
      <c r="L187" s="53">
        <v>280110.76</v>
      </c>
      <c r="M187" s="53">
        <v>0</v>
      </c>
      <c r="N187" s="53">
        <v>0</v>
      </c>
      <c r="O187" s="53">
        <v>0</v>
      </c>
      <c r="P187" s="53">
        <v>280110.76</v>
      </c>
      <c r="Q187" s="53">
        <v>0</v>
      </c>
      <c r="R187" s="53">
        <v>0</v>
      </c>
      <c r="S187" s="53">
        <v>0</v>
      </c>
      <c r="T187" s="53">
        <v>0</v>
      </c>
    </row>
    <row r="188" spans="1:20" ht="21.75">
      <c r="A188" s="48" t="s">
        <v>596</v>
      </c>
      <c r="B188" s="48" t="s">
        <v>597</v>
      </c>
      <c r="C188" s="51">
        <v>0</v>
      </c>
      <c r="D188" s="51">
        <v>0</v>
      </c>
      <c r="E188" s="51">
        <v>2015520</v>
      </c>
      <c r="F188" s="51">
        <v>0</v>
      </c>
      <c r="G188" s="51">
        <v>2015520</v>
      </c>
      <c r="H188" s="51">
        <v>0</v>
      </c>
      <c r="I188" s="51">
        <v>0</v>
      </c>
      <c r="J188" s="51">
        <v>0</v>
      </c>
      <c r="K188" s="51">
        <v>2015520</v>
      </c>
      <c r="L188" s="51">
        <v>0</v>
      </c>
      <c r="M188" s="51">
        <v>0</v>
      </c>
      <c r="N188" s="51">
        <v>0</v>
      </c>
      <c r="O188" s="51">
        <v>2015520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</row>
    <row r="189" spans="1:20" ht="21.75">
      <c r="A189" s="48" t="s">
        <v>598</v>
      </c>
      <c r="B189" s="48" t="s">
        <v>599</v>
      </c>
      <c r="C189" s="51">
        <v>0</v>
      </c>
      <c r="D189" s="51">
        <v>0</v>
      </c>
      <c r="E189" s="51">
        <v>718774.2</v>
      </c>
      <c r="F189" s="51">
        <v>89808</v>
      </c>
      <c r="G189" s="51">
        <v>628966.2</v>
      </c>
      <c r="H189" s="51">
        <v>0</v>
      </c>
      <c r="I189" s="51">
        <v>0</v>
      </c>
      <c r="J189" s="51">
        <v>0</v>
      </c>
      <c r="K189" s="51">
        <v>628966.2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628966.2</v>
      </c>
      <c r="R189" s="51">
        <v>0</v>
      </c>
      <c r="S189" s="51">
        <v>0</v>
      </c>
      <c r="T189" s="51">
        <v>0</v>
      </c>
    </row>
    <row r="190" spans="1:20" s="307" customFormat="1" ht="21.75">
      <c r="A190" s="305" t="s">
        <v>806</v>
      </c>
      <c r="B190" s="305" t="s">
        <v>807</v>
      </c>
      <c r="C190" s="306">
        <v>0</v>
      </c>
      <c r="D190" s="306">
        <v>0</v>
      </c>
      <c r="E190" s="306">
        <v>17940</v>
      </c>
      <c r="F190" s="306">
        <v>0</v>
      </c>
      <c r="G190" s="306">
        <v>17940</v>
      </c>
      <c r="H190" s="306">
        <v>0</v>
      </c>
      <c r="I190" s="306"/>
      <c r="J190" s="306">
        <v>17940</v>
      </c>
      <c r="K190" s="306"/>
      <c r="L190" s="306">
        <v>0</v>
      </c>
      <c r="M190" s="306">
        <v>0</v>
      </c>
      <c r="N190" s="306">
        <v>0</v>
      </c>
      <c r="O190" s="306"/>
      <c r="P190" s="306"/>
      <c r="Q190" s="306"/>
      <c r="R190" s="306"/>
      <c r="S190" s="306">
        <v>0</v>
      </c>
      <c r="T190" s="306">
        <v>0</v>
      </c>
    </row>
    <row r="191" spans="1:20" ht="21.75">
      <c r="A191" s="48" t="s">
        <v>600</v>
      </c>
      <c r="B191" s="48" t="s">
        <v>297</v>
      </c>
      <c r="C191" s="51">
        <v>0</v>
      </c>
      <c r="D191" s="51">
        <v>0</v>
      </c>
      <c r="E191" s="51">
        <v>55890.41</v>
      </c>
      <c r="F191" s="51">
        <v>0</v>
      </c>
      <c r="G191" s="51">
        <v>55890.41</v>
      </c>
      <c r="H191" s="51">
        <v>0</v>
      </c>
      <c r="I191" s="51">
        <v>11835.62</v>
      </c>
      <c r="J191" s="51">
        <v>0</v>
      </c>
      <c r="K191" s="51">
        <v>67726.03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67726.03</v>
      </c>
      <c r="R191" s="51">
        <v>0</v>
      </c>
      <c r="S191" s="51">
        <v>0</v>
      </c>
      <c r="T191" s="51">
        <v>0</v>
      </c>
    </row>
    <row r="192" spans="1:20" ht="21.75">
      <c r="A192" s="48" t="s">
        <v>601</v>
      </c>
      <c r="B192" s="48" t="s">
        <v>602</v>
      </c>
      <c r="C192" s="51">
        <v>0</v>
      </c>
      <c r="D192" s="51">
        <v>0</v>
      </c>
      <c r="E192" s="51">
        <v>534292.7</v>
      </c>
      <c r="F192" s="51">
        <v>0</v>
      </c>
      <c r="G192" s="51">
        <v>534292.7</v>
      </c>
      <c r="H192" s="51">
        <v>0</v>
      </c>
      <c r="I192" s="51">
        <v>0</v>
      </c>
      <c r="J192" s="51">
        <v>0</v>
      </c>
      <c r="K192" s="51">
        <v>534292.7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534292.7</v>
      </c>
      <c r="R192" s="51">
        <v>0</v>
      </c>
      <c r="S192" s="51">
        <v>0</v>
      </c>
      <c r="T192" s="51">
        <v>0</v>
      </c>
    </row>
    <row r="193" spans="1:20" ht="21.75">
      <c r="A193" s="48" t="s">
        <v>298</v>
      </c>
      <c r="B193" s="48" t="s">
        <v>603</v>
      </c>
      <c r="C193" s="51">
        <v>0</v>
      </c>
      <c r="D193" s="51">
        <v>0</v>
      </c>
      <c r="E193" s="51">
        <v>728520</v>
      </c>
      <c r="F193" s="51">
        <v>0</v>
      </c>
      <c r="G193" s="51">
        <v>728520</v>
      </c>
      <c r="H193" s="51">
        <v>0</v>
      </c>
      <c r="I193" s="51">
        <v>0</v>
      </c>
      <c r="J193" s="51">
        <v>0</v>
      </c>
      <c r="K193" s="51">
        <v>728520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728520</v>
      </c>
      <c r="R193" s="51">
        <v>0</v>
      </c>
      <c r="S193" s="51">
        <v>0</v>
      </c>
      <c r="T193" s="51">
        <v>0</v>
      </c>
    </row>
    <row r="194" spans="1:20" ht="21.75">
      <c r="A194" s="48" t="s">
        <v>299</v>
      </c>
      <c r="B194" s="48" t="s">
        <v>604</v>
      </c>
      <c r="C194" s="51">
        <v>0</v>
      </c>
      <c r="D194" s="51">
        <v>0</v>
      </c>
      <c r="E194" s="51">
        <v>165600</v>
      </c>
      <c r="F194" s="51">
        <v>0</v>
      </c>
      <c r="G194" s="51">
        <v>165600</v>
      </c>
      <c r="H194" s="51">
        <v>0</v>
      </c>
      <c r="I194" s="51">
        <v>0</v>
      </c>
      <c r="J194" s="51">
        <v>0</v>
      </c>
      <c r="K194" s="51">
        <v>165600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165600</v>
      </c>
      <c r="R194" s="51">
        <v>0</v>
      </c>
      <c r="S194" s="51">
        <v>0</v>
      </c>
      <c r="T194" s="51">
        <v>0</v>
      </c>
    </row>
    <row r="195" spans="1:20" ht="21.75">
      <c r="A195" s="48" t="s">
        <v>300</v>
      </c>
      <c r="B195" s="48" t="s">
        <v>301</v>
      </c>
      <c r="C195" s="51">
        <v>0</v>
      </c>
      <c r="D195" s="51">
        <v>0</v>
      </c>
      <c r="E195" s="51">
        <v>31810</v>
      </c>
      <c r="F195" s="51">
        <v>0</v>
      </c>
      <c r="G195" s="51">
        <v>31810</v>
      </c>
      <c r="H195" s="51">
        <v>0</v>
      </c>
      <c r="I195" s="51">
        <v>0</v>
      </c>
      <c r="J195" s="51">
        <v>0</v>
      </c>
      <c r="K195" s="51">
        <v>31810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31810</v>
      </c>
      <c r="R195" s="51">
        <v>0</v>
      </c>
      <c r="S195" s="51">
        <v>0</v>
      </c>
      <c r="T195" s="51">
        <v>0</v>
      </c>
    </row>
    <row r="196" spans="1:20" ht="21.75">
      <c r="A196" s="48" t="s">
        <v>302</v>
      </c>
      <c r="B196" s="48" t="s">
        <v>605</v>
      </c>
      <c r="C196" s="51">
        <v>0</v>
      </c>
      <c r="D196" s="51">
        <v>0</v>
      </c>
      <c r="E196" s="51">
        <v>41724.12</v>
      </c>
      <c r="F196" s="51">
        <v>0</v>
      </c>
      <c r="G196" s="51">
        <v>41724.12</v>
      </c>
      <c r="H196" s="51">
        <v>0</v>
      </c>
      <c r="I196" s="51">
        <v>0</v>
      </c>
      <c r="J196" s="51">
        <v>0</v>
      </c>
      <c r="K196" s="51">
        <v>41724.12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41724.12</v>
      </c>
      <c r="R196" s="51">
        <v>0</v>
      </c>
      <c r="S196" s="51">
        <v>0</v>
      </c>
      <c r="T196" s="51">
        <v>0</v>
      </c>
    </row>
    <row r="197" spans="1:20" ht="21.75">
      <c r="A197" s="48" t="s">
        <v>606</v>
      </c>
      <c r="B197" s="48" t="s">
        <v>303</v>
      </c>
      <c r="C197" s="51">
        <v>0</v>
      </c>
      <c r="D197" s="51">
        <v>0</v>
      </c>
      <c r="E197" s="51">
        <v>506498.47</v>
      </c>
      <c r="F197" s="51">
        <v>180755.58</v>
      </c>
      <c r="G197" s="51">
        <v>325742.89</v>
      </c>
      <c r="H197" s="51">
        <v>0</v>
      </c>
      <c r="I197" s="51">
        <v>0</v>
      </c>
      <c r="J197" s="51">
        <v>0</v>
      </c>
      <c r="K197" s="51">
        <v>325742.89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325742.89</v>
      </c>
      <c r="R197" s="51">
        <v>0</v>
      </c>
      <c r="S197" s="51">
        <v>0</v>
      </c>
      <c r="T197" s="51">
        <v>0</v>
      </c>
    </row>
    <row r="198" spans="1:20" ht="21.75">
      <c r="A198" s="48" t="s">
        <v>607</v>
      </c>
      <c r="B198" s="48" t="s">
        <v>304</v>
      </c>
      <c r="C198" s="51">
        <v>0</v>
      </c>
      <c r="D198" s="51">
        <v>0</v>
      </c>
      <c r="E198" s="51">
        <v>24015.67</v>
      </c>
      <c r="F198" s="51">
        <v>0</v>
      </c>
      <c r="G198" s="51">
        <v>24015.67</v>
      </c>
      <c r="H198" s="51">
        <v>0</v>
      </c>
      <c r="I198" s="51">
        <v>0</v>
      </c>
      <c r="J198" s="51">
        <v>0</v>
      </c>
      <c r="K198" s="51">
        <v>24015.67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24015.67</v>
      </c>
      <c r="R198" s="51">
        <v>0</v>
      </c>
      <c r="S198" s="51">
        <v>0</v>
      </c>
      <c r="T198" s="51">
        <v>0</v>
      </c>
    </row>
    <row r="199" spans="1:20" ht="21.75">
      <c r="A199" s="48" t="s">
        <v>608</v>
      </c>
      <c r="B199" s="48" t="s">
        <v>357</v>
      </c>
      <c r="C199" s="51">
        <v>0</v>
      </c>
      <c r="D199" s="51">
        <v>0</v>
      </c>
      <c r="E199" s="51">
        <v>35470.69</v>
      </c>
      <c r="F199" s="51">
        <v>0.09</v>
      </c>
      <c r="G199" s="51">
        <v>35470.6</v>
      </c>
      <c r="H199" s="51">
        <v>0</v>
      </c>
      <c r="I199" s="51">
        <v>348.71</v>
      </c>
      <c r="J199" s="51">
        <v>0</v>
      </c>
      <c r="K199" s="51">
        <f>G199+I199</f>
        <v>35819.31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f>K199</f>
        <v>35819.31</v>
      </c>
      <c r="R199" s="51">
        <v>0</v>
      </c>
      <c r="S199" s="51">
        <v>0</v>
      </c>
      <c r="T199" s="51">
        <v>0</v>
      </c>
    </row>
    <row r="200" spans="1:20" ht="21.75">
      <c r="A200" s="48" t="s">
        <v>609</v>
      </c>
      <c r="B200" s="48" t="s">
        <v>429</v>
      </c>
      <c r="C200" s="51">
        <v>0</v>
      </c>
      <c r="D200" s="51">
        <v>0</v>
      </c>
      <c r="E200" s="51">
        <v>100020</v>
      </c>
      <c r="F200" s="51">
        <v>0</v>
      </c>
      <c r="G200" s="51">
        <v>100020</v>
      </c>
      <c r="H200" s="51">
        <v>0</v>
      </c>
      <c r="I200" s="51">
        <v>0</v>
      </c>
      <c r="J200" s="51">
        <v>0</v>
      </c>
      <c r="K200" s="51">
        <v>100020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100020</v>
      </c>
      <c r="R200" s="51">
        <v>0</v>
      </c>
      <c r="S200" s="51">
        <v>0</v>
      </c>
      <c r="T200" s="51">
        <v>0</v>
      </c>
    </row>
    <row r="201" spans="1:20" ht="21.75">
      <c r="A201" s="48" t="s">
        <v>610</v>
      </c>
      <c r="B201" s="48" t="s">
        <v>611</v>
      </c>
      <c r="C201" s="51">
        <v>0</v>
      </c>
      <c r="D201" s="51">
        <v>0</v>
      </c>
      <c r="E201" s="51">
        <v>18297</v>
      </c>
      <c r="F201" s="51">
        <v>0</v>
      </c>
      <c r="G201" s="51">
        <v>18297</v>
      </c>
      <c r="H201" s="51">
        <v>0</v>
      </c>
      <c r="I201" s="51">
        <v>0</v>
      </c>
      <c r="J201" s="51">
        <v>0</v>
      </c>
      <c r="K201" s="51">
        <v>18297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18297</v>
      </c>
      <c r="R201" s="51">
        <v>0</v>
      </c>
      <c r="S201" s="51">
        <v>0</v>
      </c>
      <c r="T201" s="51">
        <v>0</v>
      </c>
    </row>
    <row r="202" spans="1:20" ht="21.75">
      <c r="A202" s="48" t="s">
        <v>612</v>
      </c>
      <c r="B202" s="48" t="s">
        <v>332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727900.39</v>
      </c>
      <c r="J202" s="51">
        <v>0</v>
      </c>
      <c r="K202" s="51">
        <v>727900.39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727900.39</v>
      </c>
      <c r="R202" s="51">
        <v>0</v>
      </c>
      <c r="S202" s="51">
        <v>0</v>
      </c>
      <c r="T202" s="51">
        <v>0</v>
      </c>
    </row>
    <row r="203" spans="1:20" ht="21.75">
      <c r="A203" s="48" t="s">
        <v>613</v>
      </c>
      <c r="B203" s="48" t="s">
        <v>614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52000</v>
      </c>
      <c r="J203" s="51">
        <v>0</v>
      </c>
      <c r="K203" s="51">
        <v>52000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52000</v>
      </c>
      <c r="R203" s="51">
        <v>0</v>
      </c>
      <c r="S203" s="51">
        <v>0</v>
      </c>
      <c r="T203" s="51">
        <v>0</v>
      </c>
    </row>
    <row r="204" spans="1:20" ht="21.75">
      <c r="A204" s="48" t="s">
        <v>615</v>
      </c>
      <c r="B204" s="48" t="s">
        <v>616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18064.44</v>
      </c>
      <c r="J204" s="51">
        <v>0</v>
      </c>
      <c r="K204" s="51">
        <v>18064.44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18064.44</v>
      </c>
      <c r="R204" s="51">
        <v>0</v>
      </c>
      <c r="S204" s="51">
        <v>0</v>
      </c>
      <c r="T204" s="51">
        <v>0</v>
      </c>
    </row>
    <row r="205" spans="1:20" ht="21.75">
      <c r="A205" s="48" t="s">
        <v>617</v>
      </c>
      <c r="B205" s="48" t="s">
        <v>618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21536.76</v>
      </c>
      <c r="J205" s="51">
        <v>0</v>
      </c>
      <c r="K205" s="51">
        <v>21536.76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21536.76</v>
      </c>
      <c r="R205" s="51">
        <v>0</v>
      </c>
      <c r="S205" s="51">
        <v>0</v>
      </c>
      <c r="T205" s="51">
        <v>0</v>
      </c>
    </row>
    <row r="206" spans="1:20" ht="21.75">
      <c r="A206" s="48" t="s">
        <v>808</v>
      </c>
      <c r="B206" s="48" t="s">
        <v>809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16000</v>
      </c>
      <c r="J206" s="51">
        <v>0</v>
      </c>
      <c r="K206" s="51">
        <v>16000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16000</v>
      </c>
      <c r="R206" s="51">
        <v>0</v>
      </c>
      <c r="S206" s="51">
        <v>0</v>
      </c>
      <c r="T206" s="51">
        <v>0</v>
      </c>
    </row>
    <row r="207" spans="1:20" ht="21.75">
      <c r="A207" s="48" t="s">
        <v>619</v>
      </c>
      <c r="B207" s="48" t="s">
        <v>620</v>
      </c>
      <c r="C207" s="51">
        <v>0</v>
      </c>
      <c r="D207" s="51">
        <v>0</v>
      </c>
      <c r="E207" s="51">
        <v>77023953</v>
      </c>
      <c r="F207" s="51">
        <v>0</v>
      </c>
      <c r="G207" s="51">
        <v>77023953</v>
      </c>
      <c r="H207" s="51">
        <v>0</v>
      </c>
      <c r="I207" s="51">
        <v>0</v>
      </c>
      <c r="J207" s="51">
        <v>0</v>
      </c>
      <c r="K207" s="51">
        <v>77023953</v>
      </c>
      <c r="L207" s="51">
        <v>0</v>
      </c>
      <c r="M207" s="51">
        <v>0</v>
      </c>
      <c r="N207" s="51">
        <v>0</v>
      </c>
      <c r="O207" s="51">
        <v>77023953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</row>
    <row r="208" spans="1:20" ht="21.75">
      <c r="A208" s="48" t="s">
        <v>621</v>
      </c>
      <c r="B208" s="48" t="s">
        <v>305</v>
      </c>
      <c r="C208" s="51">
        <v>0</v>
      </c>
      <c r="D208" s="51">
        <v>0</v>
      </c>
      <c r="E208" s="51">
        <v>68714.88</v>
      </c>
      <c r="F208" s="51">
        <v>0</v>
      </c>
      <c r="G208" s="51">
        <v>68714.88</v>
      </c>
      <c r="H208" s="51">
        <v>0</v>
      </c>
      <c r="I208" s="51">
        <v>0</v>
      </c>
      <c r="J208" s="51">
        <v>0</v>
      </c>
      <c r="K208" s="51">
        <v>68714.88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68714.88</v>
      </c>
      <c r="R208" s="51">
        <v>0</v>
      </c>
      <c r="S208" s="51">
        <v>0</v>
      </c>
      <c r="T208" s="51">
        <v>0</v>
      </c>
    </row>
    <row r="209" spans="1:20" s="57" customFormat="1" ht="21.75">
      <c r="A209" s="55" t="s">
        <v>622</v>
      </c>
      <c r="B209" s="55" t="s">
        <v>623</v>
      </c>
      <c r="C209" s="56">
        <v>0</v>
      </c>
      <c r="D209" s="56">
        <v>0</v>
      </c>
      <c r="E209" s="56"/>
      <c r="F209" s="56">
        <v>0</v>
      </c>
      <c r="G209" s="56"/>
      <c r="H209" s="56">
        <v>0</v>
      </c>
      <c r="I209" s="56"/>
      <c r="J209" s="56">
        <v>0</v>
      </c>
      <c r="K209" s="56"/>
      <c r="L209" s="56">
        <v>0</v>
      </c>
      <c r="M209" s="56"/>
      <c r="N209" s="56">
        <v>0</v>
      </c>
      <c r="O209" s="56"/>
      <c r="P209" s="56"/>
      <c r="Q209" s="56"/>
      <c r="R209" s="56"/>
      <c r="S209" s="56">
        <v>0</v>
      </c>
      <c r="T209" s="56">
        <v>0</v>
      </c>
    </row>
    <row r="210" spans="1:20" ht="21.75">
      <c r="A210" s="54" t="s">
        <v>680</v>
      </c>
      <c r="B210" s="54" t="s">
        <v>297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17671.23</v>
      </c>
      <c r="J210" s="53">
        <v>0</v>
      </c>
      <c r="K210" s="53">
        <v>17671.23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17671.23</v>
      </c>
      <c r="R210" s="53">
        <v>0</v>
      </c>
      <c r="S210" s="53">
        <v>0</v>
      </c>
      <c r="T210" s="53">
        <v>0</v>
      </c>
    </row>
    <row r="211" spans="1:20" ht="21.75">
      <c r="A211" s="48" t="s">
        <v>624</v>
      </c>
      <c r="B211" s="48" t="s">
        <v>355</v>
      </c>
      <c r="C211" s="51">
        <v>0</v>
      </c>
      <c r="D211" s="51">
        <v>0</v>
      </c>
      <c r="E211" s="67">
        <v>116096.51</v>
      </c>
      <c r="F211" s="51">
        <v>0</v>
      </c>
      <c r="G211" s="51">
        <f>E211</f>
        <v>116096.51</v>
      </c>
      <c r="H211" s="51">
        <v>0</v>
      </c>
      <c r="I211" s="51">
        <v>0</v>
      </c>
      <c r="J211" s="51">
        <v>0</v>
      </c>
      <c r="K211" s="51">
        <f>G211</f>
        <v>116096.51</v>
      </c>
      <c r="L211" s="51">
        <v>0</v>
      </c>
      <c r="M211" s="51">
        <f>K211</f>
        <v>116096.51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</row>
    <row r="212" spans="1:20" ht="21.75">
      <c r="A212" s="48" t="s">
        <v>625</v>
      </c>
      <c r="B212" s="48" t="s">
        <v>356</v>
      </c>
      <c r="C212" s="51">
        <v>0</v>
      </c>
      <c r="D212" s="51">
        <v>0</v>
      </c>
      <c r="E212" s="51">
        <v>62598.17</v>
      </c>
      <c r="F212" s="51">
        <v>1643.92</v>
      </c>
      <c r="G212" s="51">
        <v>60954.25</v>
      </c>
      <c r="H212" s="51">
        <v>0</v>
      </c>
      <c r="I212" s="51">
        <v>0</v>
      </c>
      <c r="J212" s="51">
        <v>0</v>
      </c>
      <c r="K212" s="51">
        <v>60954.25</v>
      </c>
      <c r="L212" s="51">
        <v>0</v>
      </c>
      <c r="M212" s="51">
        <v>60954.25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</row>
    <row r="213" spans="1:20" ht="21.75">
      <c r="A213" s="48" t="s">
        <v>626</v>
      </c>
      <c r="B213" s="48" t="s">
        <v>430</v>
      </c>
      <c r="C213" s="51">
        <v>0</v>
      </c>
      <c r="D213" s="51">
        <v>0</v>
      </c>
      <c r="E213" s="51">
        <v>2033</v>
      </c>
      <c r="F213" s="51">
        <v>0</v>
      </c>
      <c r="G213" s="51">
        <v>2033</v>
      </c>
      <c r="H213" s="51">
        <v>0</v>
      </c>
      <c r="I213" s="51">
        <v>0</v>
      </c>
      <c r="J213" s="51">
        <v>0</v>
      </c>
      <c r="K213" s="51">
        <v>2033</v>
      </c>
      <c r="L213" s="51">
        <v>0</v>
      </c>
      <c r="M213" s="51"/>
      <c r="N213" s="51">
        <v>0</v>
      </c>
      <c r="O213" s="51">
        <f>K213</f>
        <v>2033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</row>
    <row r="214" spans="1:20" ht="21.75">
      <c r="A214" s="48" t="s">
        <v>627</v>
      </c>
      <c r="B214" s="48" t="s">
        <v>628</v>
      </c>
      <c r="C214" s="51">
        <v>0</v>
      </c>
      <c r="D214" s="51">
        <v>0</v>
      </c>
      <c r="E214" s="51">
        <v>218700</v>
      </c>
      <c r="F214" s="51">
        <v>0</v>
      </c>
      <c r="G214" s="51">
        <v>218700</v>
      </c>
      <c r="H214" s="51">
        <v>0</v>
      </c>
      <c r="I214" s="51">
        <v>0</v>
      </c>
      <c r="J214" s="51">
        <v>0</v>
      </c>
      <c r="K214" s="51">
        <v>218700</v>
      </c>
      <c r="L214" s="51">
        <v>0</v>
      </c>
      <c r="M214" s="51">
        <v>218700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</row>
    <row r="215" spans="1:20" ht="21.75">
      <c r="A215" s="48" t="s">
        <v>629</v>
      </c>
      <c r="B215" s="48" t="s">
        <v>630</v>
      </c>
      <c r="C215" s="51">
        <v>0</v>
      </c>
      <c r="D215" s="51">
        <v>0</v>
      </c>
      <c r="E215" s="51">
        <v>79285</v>
      </c>
      <c r="F215" s="51">
        <v>905.5</v>
      </c>
      <c r="G215" s="51">
        <v>78379.5</v>
      </c>
      <c r="H215" s="51">
        <v>0</v>
      </c>
      <c r="I215" s="51">
        <v>0</v>
      </c>
      <c r="J215" s="51">
        <v>31137</v>
      </c>
      <c r="K215" s="51">
        <f>G215-J215</f>
        <v>47242.5</v>
      </c>
      <c r="L215" s="51">
        <v>0</v>
      </c>
      <c r="M215" s="51">
        <v>3957.5</v>
      </c>
      <c r="N215" s="51">
        <v>0</v>
      </c>
      <c r="O215" s="51">
        <v>0</v>
      </c>
      <c r="P215" s="51">
        <v>0</v>
      </c>
      <c r="Q215" s="51">
        <v>43285</v>
      </c>
      <c r="R215" s="51">
        <v>0</v>
      </c>
      <c r="S215" s="51">
        <v>0</v>
      </c>
      <c r="T215" s="51">
        <v>0</v>
      </c>
    </row>
    <row r="216" spans="1:20" ht="21.75">
      <c r="A216" s="48" t="s">
        <v>631</v>
      </c>
      <c r="B216" s="48" t="s">
        <v>632</v>
      </c>
      <c r="C216" s="51">
        <v>0</v>
      </c>
      <c r="D216" s="51">
        <v>0</v>
      </c>
      <c r="E216" s="51">
        <v>121694.59</v>
      </c>
      <c r="F216" s="51">
        <v>9000</v>
      </c>
      <c r="G216" s="51">
        <v>112694.59</v>
      </c>
      <c r="H216" s="51">
        <v>0</v>
      </c>
      <c r="I216" s="51">
        <v>0</v>
      </c>
      <c r="J216" s="51">
        <v>0</v>
      </c>
      <c r="K216" s="51">
        <v>112694.59</v>
      </c>
      <c r="L216" s="51">
        <v>0</v>
      </c>
      <c r="M216" s="51">
        <v>3633.37</v>
      </c>
      <c r="N216" s="51">
        <v>0</v>
      </c>
      <c r="O216" s="51">
        <v>0</v>
      </c>
      <c r="P216" s="51">
        <v>0</v>
      </c>
      <c r="Q216" s="51">
        <v>109061.22</v>
      </c>
      <c r="R216" s="51">
        <v>0</v>
      </c>
      <c r="S216" s="51">
        <v>0</v>
      </c>
      <c r="T216" s="51">
        <v>0</v>
      </c>
    </row>
    <row r="217" spans="1:20" ht="21.75">
      <c r="A217" s="48" t="s">
        <v>633</v>
      </c>
      <c r="B217" s="48" t="s">
        <v>358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14400</v>
      </c>
      <c r="J217" s="51">
        <v>0</v>
      </c>
      <c r="K217" s="51">
        <v>14400</v>
      </c>
      <c r="L217" s="51">
        <v>0</v>
      </c>
      <c r="M217" s="51">
        <v>14400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</row>
    <row r="218" spans="1:20" ht="21.75">
      <c r="A218" s="48" t="s">
        <v>634</v>
      </c>
      <c r="B218" s="48" t="s">
        <v>635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140418.58</v>
      </c>
      <c r="J218" s="51">
        <v>0</v>
      </c>
      <c r="K218" s="51">
        <v>140418.58</v>
      </c>
      <c r="L218" s="51">
        <v>0</v>
      </c>
      <c r="M218" s="51">
        <v>63345.16</v>
      </c>
      <c r="N218" s="51">
        <v>0</v>
      </c>
      <c r="O218" s="51">
        <v>0</v>
      </c>
      <c r="P218" s="51">
        <v>0</v>
      </c>
      <c r="Q218" s="51">
        <v>77073.42</v>
      </c>
      <c r="R218" s="51">
        <v>0</v>
      </c>
      <c r="S218" s="51">
        <v>0</v>
      </c>
      <c r="T218" s="51">
        <v>0</v>
      </c>
    </row>
    <row r="219" spans="1:20" ht="21.75">
      <c r="A219" s="48" t="s">
        <v>636</v>
      </c>
      <c r="B219" s="48" t="s">
        <v>637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273000</v>
      </c>
      <c r="J219" s="51">
        <v>0</v>
      </c>
      <c r="K219" s="51">
        <v>273000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273000</v>
      </c>
      <c r="R219" s="51">
        <v>0</v>
      </c>
      <c r="S219" s="51">
        <v>0</v>
      </c>
      <c r="T219" s="51">
        <v>0</v>
      </c>
    </row>
    <row r="220" spans="1:20" ht="21.75">
      <c r="A220" s="48" t="s">
        <v>638</v>
      </c>
      <c r="B220" s="48" t="s">
        <v>305</v>
      </c>
      <c r="C220" s="51">
        <v>0</v>
      </c>
      <c r="D220" s="51">
        <v>0</v>
      </c>
      <c r="E220" s="51">
        <v>2000</v>
      </c>
      <c r="F220" s="51">
        <v>2000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</row>
    <row r="221" spans="1:20" ht="21.75">
      <c r="A221" s="48" t="s">
        <v>681</v>
      </c>
      <c r="B221" s="48" t="s">
        <v>810</v>
      </c>
      <c r="C221" s="51">
        <v>0</v>
      </c>
      <c r="D221" s="51">
        <v>0</v>
      </c>
      <c r="E221" s="51">
        <v>2400</v>
      </c>
      <c r="F221" s="51">
        <v>300</v>
      </c>
      <c r="G221" s="51">
        <v>2100</v>
      </c>
      <c r="H221" s="51">
        <v>0</v>
      </c>
      <c r="I221" s="51">
        <v>0</v>
      </c>
      <c r="J221" s="51">
        <v>0</v>
      </c>
      <c r="K221" s="51">
        <v>2100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2100</v>
      </c>
      <c r="R221" s="51">
        <v>0</v>
      </c>
      <c r="S221" s="51">
        <v>0</v>
      </c>
      <c r="T221" s="51">
        <v>0</v>
      </c>
    </row>
    <row r="222" spans="1:20" ht="21.75">
      <c r="A222" s="48" t="s">
        <v>306</v>
      </c>
      <c r="B222" s="48" t="s">
        <v>307</v>
      </c>
      <c r="C222" s="51">
        <v>0</v>
      </c>
      <c r="D222" s="51">
        <v>0</v>
      </c>
      <c r="E222" s="51">
        <v>2505960</v>
      </c>
      <c r="F222" s="51">
        <v>0</v>
      </c>
      <c r="G222" s="51">
        <v>2505960</v>
      </c>
      <c r="H222" s="51">
        <v>0</v>
      </c>
      <c r="I222" s="51">
        <v>0</v>
      </c>
      <c r="J222" s="51">
        <v>0</v>
      </c>
      <c r="K222" s="51">
        <v>2505960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2505960</v>
      </c>
      <c r="R222" s="51">
        <v>0</v>
      </c>
      <c r="S222" s="51">
        <v>0</v>
      </c>
      <c r="T222" s="51">
        <v>0</v>
      </c>
    </row>
    <row r="223" spans="1:20" ht="21.75">
      <c r="A223" s="48" t="s">
        <v>308</v>
      </c>
      <c r="B223" s="48" t="s">
        <v>639</v>
      </c>
      <c r="C223" s="51">
        <v>0</v>
      </c>
      <c r="D223" s="51">
        <v>0</v>
      </c>
      <c r="E223" s="51">
        <v>128650</v>
      </c>
      <c r="F223" s="51">
        <v>0</v>
      </c>
      <c r="G223" s="51">
        <v>128650</v>
      </c>
      <c r="H223" s="51">
        <v>0</v>
      </c>
      <c r="I223" s="51">
        <v>0</v>
      </c>
      <c r="J223" s="51">
        <v>0</v>
      </c>
      <c r="K223" s="51">
        <v>128650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128650</v>
      </c>
      <c r="R223" s="51">
        <v>0</v>
      </c>
      <c r="S223" s="51">
        <v>0</v>
      </c>
      <c r="T223" s="51">
        <v>0</v>
      </c>
    </row>
    <row r="224" spans="1:20" ht="21.75">
      <c r="A224" s="48" t="s">
        <v>309</v>
      </c>
      <c r="B224" s="48" t="s">
        <v>640</v>
      </c>
      <c r="C224" s="51">
        <v>0</v>
      </c>
      <c r="D224" s="51">
        <v>0</v>
      </c>
      <c r="E224" s="51">
        <v>9150</v>
      </c>
      <c r="F224" s="51">
        <v>0</v>
      </c>
      <c r="G224" s="51">
        <v>9150</v>
      </c>
      <c r="H224" s="51">
        <v>0</v>
      </c>
      <c r="I224" s="51">
        <v>0</v>
      </c>
      <c r="J224" s="51">
        <v>0</v>
      </c>
      <c r="K224" s="51">
        <v>9150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9150</v>
      </c>
      <c r="R224" s="51">
        <v>0</v>
      </c>
      <c r="S224" s="51">
        <v>0</v>
      </c>
      <c r="T224" s="51">
        <v>0</v>
      </c>
    </row>
    <row r="225" spans="1:20" ht="21.75">
      <c r="A225" s="48" t="s">
        <v>310</v>
      </c>
      <c r="B225" s="48" t="s">
        <v>311</v>
      </c>
      <c r="C225" s="51">
        <v>0</v>
      </c>
      <c r="D225" s="51">
        <v>0</v>
      </c>
      <c r="E225" s="51">
        <v>103500</v>
      </c>
      <c r="F225" s="51">
        <v>0</v>
      </c>
      <c r="G225" s="51">
        <v>103500</v>
      </c>
      <c r="H225" s="51">
        <v>0</v>
      </c>
      <c r="I225" s="51">
        <v>0</v>
      </c>
      <c r="J225" s="51">
        <v>0</v>
      </c>
      <c r="K225" s="51">
        <v>103500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103500</v>
      </c>
      <c r="R225" s="51">
        <v>0</v>
      </c>
      <c r="S225" s="51">
        <v>0</v>
      </c>
      <c r="T225" s="51">
        <v>0</v>
      </c>
    </row>
    <row r="226" spans="1:20" ht="21.75">
      <c r="A226" s="48" t="s">
        <v>641</v>
      </c>
      <c r="B226" s="48" t="s">
        <v>642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533630</v>
      </c>
      <c r="J226" s="51">
        <v>0</v>
      </c>
      <c r="K226" s="51">
        <v>533630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533630</v>
      </c>
      <c r="R226" s="51">
        <v>0</v>
      </c>
      <c r="S226" s="51">
        <v>0</v>
      </c>
      <c r="T226" s="51">
        <v>0</v>
      </c>
    </row>
    <row r="227" spans="1:20" ht="21.75">
      <c r="A227" s="48" t="s">
        <v>643</v>
      </c>
      <c r="B227" s="48" t="s">
        <v>43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47557.15</v>
      </c>
      <c r="J227" s="51">
        <v>0</v>
      </c>
      <c r="K227" s="51">
        <v>47557.15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47557.15</v>
      </c>
      <c r="R227" s="51">
        <v>0</v>
      </c>
      <c r="S227" s="51">
        <v>0</v>
      </c>
      <c r="T227" s="51">
        <v>0</v>
      </c>
    </row>
    <row r="228" spans="1:20" ht="21.75">
      <c r="A228" s="48" t="s">
        <v>312</v>
      </c>
      <c r="B228" s="48" t="s">
        <v>101</v>
      </c>
      <c r="C228" s="51">
        <v>0</v>
      </c>
      <c r="D228" s="51">
        <v>0</v>
      </c>
      <c r="E228" s="51">
        <v>1836596.47</v>
      </c>
      <c r="F228" s="51">
        <v>0</v>
      </c>
      <c r="G228" s="51">
        <v>1836596.47</v>
      </c>
      <c r="H228" s="51">
        <v>0</v>
      </c>
      <c r="I228" s="51">
        <v>2132525.98</v>
      </c>
      <c r="J228" s="51">
        <v>0</v>
      </c>
      <c r="K228" s="51">
        <v>3969122.45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3969122.45</v>
      </c>
      <c r="R228" s="51">
        <v>0</v>
      </c>
      <c r="S228" s="51">
        <v>0</v>
      </c>
      <c r="T228" s="51">
        <v>0</v>
      </c>
    </row>
    <row r="229" spans="1:20" ht="21.75">
      <c r="A229" s="48" t="s">
        <v>313</v>
      </c>
      <c r="B229" s="48" t="s">
        <v>175</v>
      </c>
      <c r="C229" s="51">
        <v>0</v>
      </c>
      <c r="D229" s="51">
        <v>0</v>
      </c>
      <c r="E229" s="51">
        <v>123932</v>
      </c>
      <c r="F229" s="51">
        <v>0</v>
      </c>
      <c r="G229" s="51">
        <v>123932</v>
      </c>
      <c r="H229" s="51">
        <v>0</v>
      </c>
      <c r="I229" s="51">
        <v>0</v>
      </c>
      <c r="J229" s="51">
        <v>0</v>
      </c>
      <c r="K229" s="51">
        <v>123932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123932</v>
      </c>
      <c r="R229" s="51">
        <v>0</v>
      </c>
      <c r="S229" s="51">
        <v>0</v>
      </c>
      <c r="T229" s="51">
        <v>0</v>
      </c>
    </row>
    <row r="230" spans="1:20" ht="21.75">
      <c r="A230" s="48" t="s">
        <v>314</v>
      </c>
      <c r="B230" s="48" t="s">
        <v>431</v>
      </c>
      <c r="C230" s="51">
        <v>0</v>
      </c>
      <c r="D230" s="51">
        <v>0</v>
      </c>
      <c r="E230" s="51">
        <v>36872.31</v>
      </c>
      <c r="F230" s="51">
        <v>1030</v>
      </c>
      <c r="G230" s="51">
        <v>35842.31</v>
      </c>
      <c r="H230" s="51">
        <v>0</v>
      </c>
      <c r="I230" s="51">
        <v>0</v>
      </c>
      <c r="J230" s="51">
        <v>0</v>
      </c>
      <c r="K230" s="51">
        <v>35842.31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35842.31</v>
      </c>
      <c r="R230" s="51">
        <v>0</v>
      </c>
      <c r="S230" s="51">
        <v>0</v>
      </c>
      <c r="T230" s="51">
        <v>0</v>
      </c>
    </row>
    <row r="231" spans="1:20" ht="21.75">
      <c r="A231" s="48" t="s">
        <v>315</v>
      </c>
      <c r="B231" s="48" t="s">
        <v>62</v>
      </c>
      <c r="C231" s="51">
        <v>0</v>
      </c>
      <c r="D231" s="51">
        <v>0</v>
      </c>
      <c r="E231" s="51">
        <v>70147</v>
      </c>
      <c r="F231" s="51">
        <v>0</v>
      </c>
      <c r="G231" s="51">
        <v>70147</v>
      </c>
      <c r="H231" s="51">
        <v>0</v>
      </c>
      <c r="I231" s="51">
        <v>0</v>
      </c>
      <c r="J231" s="51">
        <v>0</v>
      </c>
      <c r="K231" s="51">
        <v>70147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70147</v>
      </c>
      <c r="R231" s="51">
        <v>0</v>
      </c>
      <c r="S231" s="51">
        <v>0</v>
      </c>
      <c r="T231" s="51">
        <v>0</v>
      </c>
    </row>
    <row r="232" spans="1:20" s="57" customFormat="1" ht="21.75">
      <c r="A232" s="55" t="s">
        <v>316</v>
      </c>
      <c r="B232" s="55" t="s">
        <v>317</v>
      </c>
      <c r="C232" s="56">
        <v>0</v>
      </c>
      <c r="D232" s="56">
        <v>0</v>
      </c>
      <c r="E232" s="56">
        <v>444647.32</v>
      </c>
      <c r="F232" s="56">
        <v>86570</v>
      </c>
      <c r="G232" s="56">
        <v>358077.32</v>
      </c>
      <c r="H232" s="56">
        <v>0</v>
      </c>
      <c r="I232" s="56">
        <v>0</v>
      </c>
      <c r="J232" s="56">
        <v>14400</v>
      </c>
      <c r="K232" s="56">
        <v>343677.32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  <c r="Q232" s="56">
        <v>343677.32</v>
      </c>
      <c r="R232" s="56">
        <v>0</v>
      </c>
      <c r="S232" s="56">
        <v>0</v>
      </c>
      <c r="T232" s="56">
        <v>0</v>
      </c>
    </row>
    <row r="233" spans="1:20" ht="21.75">
      <c r="A233" s="54" t="s">
        <v>318</v>
      </c>
      <c r="B233" s="54" t="s">
        <v>644</v>
      </c>
      <c r="C233" s="53">
        <v>0</v>
      </c>
      <c r="D233" s="53">
        <v>0</v>
      </c>
      <c r="E233" s="53">
        <v>131029.25</v>
      </c>
      <c r="F233" s="53">
        <v>2400</v>
      </c>
      <c r="G233" s="53">
        <v>128629.25</v>
      </c>
      <c r="H233" s="53">
        <v>0</v>
      </c>
      <c r="I233" s="53">
        <v>0</v>
      </c>
      <c r="J233" s="53">
        <v>0</v>
      </c>
      <c r="K233" s="53">
        <v>128629.25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128629.25</v>
      </c>
      <c r="R233" s="53">
        <v>0</v>
      </c>
      <c r="S233" s="53">
        <v>0</v>
      </c>
      <c r="T233" s="53">
        <v>0</v>
      </c>
    </row>
    <row r="234" spans="1:20" ht="21.75">
      <c r="A234" s="48" t="s">
        <v>319</v>
      </c>
      <c r="B234" s="48" t="s">
        <v>320</v>
      </c>
      <c r="C234" s="51">
        <v>0</v>
      </c>
      <c r="D234" s="51">
        <v>0</v>
      </c>
      <c r="E234" s="51">
        <v>52800</v>
      </c>
      <c r="F234" s="51">
        <v>0</v>
      </c>
      <c r="G234" s="51">
        <v>52800</v>
      </c>
      <c r="H234" s="51">
        <v>0</v>
      </c>
      <c r="I234" s="51">
        <v>0</v>
      </c>
      <c r="J234" s="51">
        <v>52800</v>
      </c>
      <c r="K234" s="51">
        <f>G234-J234</f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f>K234</f>
        <v>0</v>
      </c>
      <c r="R234" s="51">
        <v>0</v>
      </c>
      <c r="S234" s="51">
        <v>0</v>
      </c>
      <c r="T234" s="51">
        <v>0</v>
      </c>
    </row>
    <row r="235" spans="1:20" ht="21.75">
      <c r="A235" s="48" t="s">
        <v>321</v>
      </c>
      <c r="B235" s="48" t="s">
        <v>174</v>
      </c>
      <c r="C235" s="51">
        <v>0</v>
      </c>
      <c r="D235" s="51">
        <v>0</v>
      </c>
      <c r="E235" s="51">
        <v>51745</v>
      </c>
      <c r="F235" s="51">
        <v>0</v>
      </c>
      <c r="G235" s="51">
        <v>51745</v>
      </c>
      <c r="H235" s="51">
        <v>0</v>
      </c>
      <c r="I235" s="51">
        <v>0</v>
      </c>
      <c r="J235" s="51">
        <v>0</v>
      </c>
      <c r="K235" s="51">
        <v>51745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51745</v>
      </c>
      <c r="R235" s="51">
        <v>0</v>
      </c>
      <c r="S235" s="51">
        <v>0</v>
      </c>
      <c r="T235" s="51">
        <v>0</v>
      </c>
    </row>
    <row r="236" spans="1:20" ht="21.75">
      <c r="A236" s="48" t="s">
        <v>322</v>
      </c>
      <c r="B236" s="48" t="s">
        <v>645</v>
      </c>
      <c r="C236" s="51">
        <v>0</v>
      </c>
      <c r="D236" s="51">
        <v>0</v>
      </c>
      <c r="E236" s="51">
        <f>228585-6000</f>
        <v>222585</v>
      </c>
      <c r="F236" s="51">
        <v>14000</v>
      </c>
      <c r="G236" s="51">
        <f>E236-F236</f>
        <v>208585</v>
      </c>
      <c r="H236" s="51">
        <v>0</v>
      </c>
      <c r="I236" s="51">
        <v>0</v>
      </c>
      <c r="J236" s="51">
        <v>0</v>
      </c>
      <c r="K236" s="51">
        <f>G236</f>
        <v>208585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208585</v>
      </c>
      <c r="R236" s="51">
        <v>0</v>
      </c>
      <c r="S236" s="51">
        <v>0</v>
      </c>
      <c r="T236" s="51">
        <v>0</v>
      </c>
    </row>
    <row r="237" spans="1:20" ht="21.75">
      <c r="A237" s="48" t="s">
        <v>646</v>
      </c>
      <c r="B237" s="48" t="s">
        <v>177</v>
      </c>
      <c r="C237" s="51">
        <v>0</v>
      </c>
      <c r="D237" s="51">
        <v>0</v>
      </c>
      <c r="E237" s="51">
        <v>38169.5</v>
      </c>
      <c r="F237" s="51">
        <v>0</v>
      </c>
      <c r="G237" s="51">
        <v>38169.5</v>
      </c>
      <c r="H237" s="51">
        <v>0</v>
      </c>
      <c r="I237" s="51">
        <v>0</v>
      </c>
      <c r="J237" s="51">
        <v>0</v>
      </c>
      <c r="K237" s="51">
        <v>38169.5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38169.5</v>
      </c>
      <c r="R237" s="51">
        <v>0</v>
      </c>
      <c r="S237" s="51">
        <v>0</v>
      </c>
      <c r="T237" s="51">
        <v>0</v>
      </c>
    </row>
    <row r="238" spans="1:20" ht="21.75">
      <c r="A238" s="48" t="s">
        <v>323</v>
      </c>
      <c r="B238" s="48" t="s">
        <v>647</v>
      </c>
      <c r="C238" s="51">
        <v>0</v>
      </c>
      <c r="D238" s="51">
        <v>0</v>
      </c>
      <c r="E238" s="51">
        <v>1484882</v>
      </c>
      <c r="F238" s="51">
        <v>8000</v>
      </c>
      <c r="G238" s="51">
        <v>1476882</v>
      </c>
      <c r="H238" s="51">
        <v>0</v>
      </c>
      <c r="I238" s="51">
        <v>0</v>
      </c>
      <c r="J238" s="51">
        <v>0</v>
      </c>
      <c r="K238" s="51">
        <v>1476882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1476882</v>
      </c>
      <c r="R238" s="51">
        <v>0</v>
      </c>
      <c r="S238" s="51">
        <v>0</v>
      </c>
      <c r="T238" s="51">
        <v>0</v>
      </c>
    </row>
    <row r="239" spans="1:20" ht="21.75">
      <c r="A239" s="48" t="s">
        <v>648</v>
      </c>
      <c r="B239" s="48" t="s">
        <v>432</v>
      </c>
      <c r="C239" s="51">
        <v>0</v>
      </c>
      <c r="D239" s="51">
        <v>0</v>
      </c>
      <c r="E239" s="51">
        <v>2151</v>
      </c>
      <c r="F239" s="51">
        <v>0</v>
      </c>
      <c r="G239" s="51">
        <v>2151</v>
      </c>
      <c r="H239" s="51">
        <v>0</v>
      </c>
      <c r="I239" s="51">
        <v>0</v>
      </c>
      <c r="J239" s="51">
        <v>0</v>
      </c>
      <c r="K239" s="51">
        <v>2151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2151</v>
      </c>
      <c r="R239" s="51">
        <v>0</v>
      </c>
      <c r="S239" s="51">
        <v>0</v>
      </c>
      <c r="T239" s="51">
        <v>0</v>
      </c>
    </row>
    <row r="240" spans="1:20" ht="21.75">
      <c r="A240" s="48" t="s">
        <v>649</v>
      </c>
      <c r="B240" s="48" t="s">
        <v>112</v>
      </c>
      <c r="C240" s="51">
        <v>0</v>
      </c>
      <c r="D240" s="51">
        <v>0</v>
      </c>
      <c r="E240" s="51">
        <v>4200</v>
      </c>
      <c r="F240" s="51">
        <v>0</v>
      </c>
      <c r="G240" s="51">
        <v>4200</v>
      </c>
      <c r="H240" s="51">
        <v>0</v>
      </c>
      <c r="I240" s="51">
        <v>0</v>
      </c>
      <c r="J240" s="51">
        <v>0</v>
      </c>
      <c r="K240" s="51">
        <v>4200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4200</v>
      </c>
      <c r="R240" s="51">
        <v>0</v>
      </c>
      <c r="S240" s="51">
        <v>0</v>
      </c>
      <c r="T240" s="51">
        <v>0</v>
      </c>
    </row>
    <row r="241" spans="1:20" ht="21.75">
      <c r="A241" s="48" t="s">
        <v>324</v>
      </c>
      <c r="B241" s="48" t="s">
        <v>650</v>
      </c>
      <c r="C241" s="51">
        <v>0</v>
      </c>
      <c r="D241" s="51">
        <v>0</v>
      </c>
      <c r="E241" s="51">
        <v>128349.15</v>
      </c>
      <c r="F241" s="51">
        <v>1190</v>
      </c>
      <c r="G241" s="51">
        <v>127159.15</v>
      </c>
      <c r="H241" s="51">
        <v>0</v>
      </c>
      <c r="I241" s="51">
        <v>0</v>
      </c>
      <c r="J241" s="51">
        <v>0</v>
      </c>
      <c r="K241" s="51">
        <v>127159.15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127159.15</v>
      </c>
      <c r="R241" s="51">
        <v>0</v>
      </c>
      <c r="S241" s="51">
        <v>0</v>
      </c>
      <c r="T241" s="51">
        <v>0</v>
      </c>
    </row>
    <row r="242" spans="1:20" ht="21.75">
      <c r="A242" s="48" t="s">
        <v>326</v>
      </c>
      <c r="B242" s="48" t="s">
        <v>327</v>
      </c>
      <c r="C242" s="51">
        <v>0</v>
      </c>
      <c r="D242" s="51">
        <v>0</v>
      </c>
      <c r="E242" s="51">
        <v>56091.71</v>
      </c>
      <c r="F242" s="51">
        <v>0</v>
      </c>
      <c r="G242" s="51">
        <v>56091.71</v>
      </c>
      <c r="H242" s="51">
        <v>0</v>
      </c>
      <c r="I242" s="51">
        <v>2233.19</v>
      </c>
      <c r="J242" s="51">
        <v>21536.76</v>
      </c>
      <c r="K242" s="51">
        <v>36788.14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36788.14</v>
      </c>
      <c r="R242" s="51">
        <v>0</v>
      </c>
      <c r="S242" s="51">
        <v>0</v>
      </c>
      <c r="T242" s="51">
        <v>0</v>
      </c>
    </row>
    <row r="243" spans="1:20" ht="21.75">
      <c r="A243" s="48" t="s">
        <v>328</v>
      </c>
      <c r="B243" s="48" t="s">
        <v>651</v>
      </c>
      <c r="C243" s="51">
        <v>0</v>
      </c>
      <c r="D243" s="51">
        <v>0</v>
      </c>
      <c r="E243" s="51">
        <v>224855</v>
      </c>
      <c r="F243" s="51">
        <v>0</v>
      </c>
      <c r="G243" s="51">
        <v>224855</v>
      </c>
      <c r="H243" s="51">
        <v>0</v>
      </c>
      <c r="I243" s="51">
        <v>0</v>
      </c>
      <c r="J243" s="51">
        <v>0</v>
      </c>
      <c r="K243" s="51">
        <v>224855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224855</v>
      </c>
      <c r="R243" s="51">
        <v>0</v>
      </c>
      <c r="S243" s="51">
        <v>0</v>
      </c>
      <c r="T243" s="51">
        <v>0</v>
      </c>
    </row>
    <row r="244" spans="1:20" ht="21.75">
      <c r="A244" s="48" t="s">
        <v>329</v>
      </c>
      <c r="B244" s="48" t="s">
        <v>113</v>
      </c>
      <c r="C244" s="51">
        <v>0</v>
      </c>
      <c r="D244" s="51">
        <v>0</v>
      </c>
      <c r="E244" s="51">
        <v>26650</v>
      </c>
      <c r="F244" s="51">
        <v>0</v>
      </c>
      <c r="G244" s="51">
        <v>26650</v>
      </c>
      <c r="H244" s="51">
        <v>0</v>
      </c>
      <c r="I244" s="51">
        <v>0</v>
      </c>
      <c r="J244" s="51">
        <v>0</v>
      </c>
      <c r="K244" s="51">
        <v>26650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26650</v>
      </c>
      <c r="R244" s="51">
        <v>0</v>
      </c>
      <c r="S244" s="51">
        <v>0</v>
      </c>
      <c r="T244" s="51">
        <v>0</v>
      </c>
    </row>
    <row r="245" spans="1:20" ht="21.75">
      <c r="A245" s="48" t="s">
        <v>330</v>
      </c>
      <c r="B245" s="48" t="s">
        <v>180</v>
      </c>
      <c r="C245" s="51">
        <v>0</v>
      </c>
      <c r="D245" s="51">
        <v>0</v>
      </c>
      <c r="E245" s="51">
        <v>12874</v>
      </c>
      <c r="F245" s="51">
        <v>0</v>
      </c>
      <c r="G245" s="51">
        <v>12874</v>
      </c>
      <c r="H245" s="51">
        <v>0</v>
      </c>
      <c r="I245" s="51">
        <v>0</v>
      </c>
      <c r="J245" s="51">
        <v>0</v>
      </c>
      <c r="K245" s="51">
        <v>12874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12874</v>
      </c>
      <c r="R245" s="51">
        <v>0</v>
      </c>
      <c r="S245" s="51">
        <v>0</v>
      </c>
      <c r="T245" s="51">
        <v>0</v>
      </c>
    </row>
    <row r="246" spans="1:20" ht="21.75">
      <c r="A246" s="48" t="s">
        <v>652</v>
      </c>
      <c r="B246" s="48" t="s">
        <v>183</v>
      </c>
      <c r="C246" s="51">
        <v>0</v>
      </c>
      <c r="D246" s="51">
        <v>0</v>
      </c>
      <c r="E246" s="51">
        <v>218067</v>
      </c>
      <c r="F246" s="51">
        <v>0</v>
      </c>
      <c r="G246" s="51">
        <v>218067</v>
      </c>
      <c r="H246" s="51">
        <v>0</v>
      </c>
      <c r="I246" s="51">
        <v>0</v>
      </c>
      <c r="J246" s="51">
        <v>0</v>
      </c>
      <c r="K246" s="51">
        <v>218067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218067</v>
      </c>
      <c r="R246" s="51">
        <v>0</v>
      </c>
      <c r="S246" s="51">
        <v>0</v>
      </c>
      <c r="T246" s="51">
        <v>0</v>
      </c>
    </row>
    <row r="247" spans="1:20" ht="21.75">
      <c r="A247" s="48" t="s">
        <v>811</v>
      </c>
      <c r="B247" s="48" t="s">
        <v>812</v>
      </c>
      <c r="C247" s="51">
        <v>0</v>
      </c>
      <c r="D247" s="51">
        <v>0</v>
      </c>
      <c r="E247" s="51">
        <v>20500</v>
      </c>
      <c r="F247" s="51">
        <v>0</v>
      </c>
      <c r="G247" s="51">
        <v>20500</v>
      </c>
      <c r="H247" s="51">
        <v>0</v>
      </c>
      <c r="I247" s="51">
        <v>0</v>
      </c>
      <c r="J247" s="51">
        <v>0</v>
      </c>
      <c r="K247" s="51">
        <v>20500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20500</v>
      </c>
      <c r="R247" s="51">
        <v>0</v>
      </c>
      <c r="S247" s="51">
        <v>0</v>
      </c>
      <c r="T247" s="51">
        <v>0</v>
      </c>
    </row>
    <row r="248" spans="1:20" ht="21.75">
      <c r="A248" s="48" t="s">
        <v>813</v>
      </c>
      <c r="B248" s="48" t="s">
        <v>814</v>
      </c>
      <c r="C248" s="51">
        <v>0</v>
      </c>
      <c r="D248" s="51">
        <v>0</v>
      </c>
      <c r="E248" s="51">
        <v>188353</v>
      </c>
      <c r="F248" s="51">
        <v>188353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</row>
    <row r="249" spans="1:20" ht="21.75">
      <c r="A249" s="48" t="s">
        <v>815</v>
      </c>
      <c r="B249" s="48" t="s">
        <v>345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918283</v>
      </c>
      <c r="J249" s="51">
        <v>0</v>
      </c>
      <c r="K249" s="51">
        <v>918283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918283</v>
      </c>
      <c r="R249" s="51">
        <v>0</v>
      </c>
      <c r="S249" s="51">
        <v>0</v>
      </c>
      <c r="T249" s="51">
        <v>0</v>
      </c>
    </row>
    <row r="250" spans="1:20" ht="21.75">
      <c r="A250" s="48" t="s">
        <v>816</v>
      </c>
      <c r="B250" s="48" t="s">
        <v>817</v>
      </c>
      <c r="C250" s="51">
        <v>0</v>
      </c>
      <c r="D250" s="51">
        <v>0</v>
      </c>
      <c r="E250" s="51">
        <v>146673.39</v>
      </c>
      <c r="F250" s="51">
        <v>0</v>
      </c>
      <c r="G250" s="51">
        <v>146673.39</v>
      </c>
      <c r="H250" s="51">
        <v>0</v>
      </c>
      <c r="I250" s="51">
        <v>0</v>
      </c>
      <c r="J250" s="51">
        <v>0</v>
      </c>
      <c r="K250" s="51">
        <v>146673.39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146673.39</v>
      </c>
      <c r="R250" s="51">
        <v>0</v>
      </c>
      <c r="S250" s="51">
        <v>0</v>
      </c>
      <c r="T250" s="51">
        <v>0</v>
      </c>
    </row>
    <row r="251" spans="1:20" ht="21.75">
      <c r="A251" s="48" t="s">
        <v>331</v>
      </c>
      <c r="B251" s="48" t="s">
        <v>332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602666.15</v>
      </c>
      <c r="J251" s="51">
        <v>0</v>
      </c>
      <c r="K251" s="51">
        <v>602666.15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f>K251</f>
        <v>602666.15</v>
      </c>
      <c r="R251" s="51">
        <v>0</v>
      </c>
      <c r="S251" s="51">
        <v>0</v>
      </c>
      <c r="T251" s="51">
        <v>0</v>
      </c>
    </row>
    <row r="252" spans="1:20" ht="21.75">
      <c r="A252" s="48" t="s">
        <v>653</v>
      </c>
      <c r="B252" s="48" t="s">
        <v>654</v>
      </c>
      <c r="C252" s="51">
        <v>0</v>
      </c>
      <c r="D252" s="51">
        <v>0</v>
      </c>
      <c r="E252" s="51">
        <v>49300</v>
      </c>
      <c r="F252" s="51">
        <v>0</v>
      </c>
      <c r="G252" s="51">
        <v>49300</v>
      </c>
      <c r="H252" s="51">
        <v>0</v>
      </c>
      <c r="I252" s="51">
        <v>0</v>
      </c>
      <c r="J252" s="51">
        <v>0</v>
      </c>
      <c r="K252" s="51">
        <v>49300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49300</v>
      </c>
      <c r="R252" s="51">
        <v>0</v>
      </c>
      <c r="S252" s="51">
        <v>0</v>
      </c>
      <c r="T252" s="51">
        <v>0</v>
      </c>
    </row>
    <row r="253" spans="1:20" ht="21.75">
      <c r="A253" s="48" t="s">
        <v>655</v>
      </c>
      <c r="B253" s="48" t="s">
        <v>325</v>
      </c>
      <c r="C253" s="51">
        <v>0</v>
      </c>
      <c r="D253" s="51">
        <v>0</v>
      </c>
      <c r="E253" s="51">
        <v>259955</v>
      </c>
      <c r="F253" s="51">
        <v>0</v>
      </c>
      <c r="G253" s="51">
        <v>259955</v>
      </c>
      <c r="H253" s="51">
        <v>0</v>
      </c>
      <c r="I253" s="51">
        <v>0</v>
      </c>
      <c r="J253" s="51">
        <v>0</v>
      </c>
      <c r="K253" s="51">
        <v>259955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259955</v>
      </c>
      <c r="R253" s="51">
        <v>0</v>
      </c>
      <c r="S253" s="51">
        <v>0</v>
      </c>
      <c r="T253" s="51">
        <v>0</v>
      </c>
    </row>
    <row r="254" spans="1:20" ht="21.75">
      <c r="A254" s="48" t="s">
        <v>656</v>
      </c>
      <c r="B254" s="48" t="s">
        <v>657</v>
      </c>
      <c r="C254" s="51">
        <v>0</v>
      </c>
      <c r="D254" s="51">
        <v>0</v>
      </c>
      <c r="E254" s="51">
        <v>3500</v>
      </c>
      <c r="F254" s="51">
        <v>0</v>
      </c>
      <c r="G254" s="51">
        <v>3500</v>
      </c>
      <c r="H254" s="51">
        <v>0</v>
      </c>
      <c r="I254" s="51">
        <v>0</v>
      </c>
      <c r="J254" s="51">
        <v>0</v>
      </c>
      <c r="K254" s="51">
        <v>3500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3500</v>
      </c>
      <c r="R254" s="51">
        <v>0</v>
      </c>
      <c r="S254" s="51">
        <v>0</v>
      </c>
      <c r="T254" s="51">
        <v>0</v>
      </c>
    </row>
    <row r="255" spans="1:20" s="57" customFormat="1" ht="21.75">
      <c r="A255" s="55" t="s">
        <v>333</v>
      </c>
      <c r="B255" s="55" t="s">
        <v>181</v>
      </c>
      <c r="C255" s="56">
        <v>0</v>
      </c>
      <c r="D255" s="56">
        <v>0</v>
      </c>
      <c r="E255" s="56">
        <v>6169.48</v>
      </c>
      <c r="F255" s="56">
        <v>0</v>
      </c>
      <c r="G255" s="56">
        <v>6169.48</v>
      </c>
      <c r="H255" s="56">
        <v>0</v>
      </c>
      <c r="I255" s="56">
        <v>0</v>
      </c>
      <c r="J255" s="56">
        <v>0</v>
      </c>
      <c r="K255" s="56">
        <v>6169.48</v>
      </c>
      <c r="L255" s="56">
        <v>0</v>
      </c>
      <c r="M255" s="56">
        <v>0</v>
      </c>
      <c r="N255" s="56">
        <v>0</v>
      </c>
      <c r="O255" s="56">
        <v>0</v>
      </c>
      <c r="P255" s="56">
        <v>0</v>
      </c>
      <c r="Q255" s="56">
        <v>6169.48</v>
      </c>
      <c r="R255" s="56">
        <v>0</v>
      </c>
      <c r="S255" s="56">
        <v>0</v>
      </c>
      <c r="T255" s="56">
        <v>0</v>
      </c>
    </row>
    <row r="256" spans="1:20" ht="21.75">
      <c r="A256" s="54" t="s">
        <v>658</v>
      </c>
      <c r="B256" s="54" t="s">
        <v>178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78129.05</v>
      </c>
      <c r="J256" s="53">
        <v>0</v>
      </c>
      <c r="K256" s="53">
        <v>78129.05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78129.05</v>
      </c>
      <c r="R256" s="53">
        <v>0</v>
      </c>
      <c r="S256" s="53">
        <v>0</v>
      </c>
      <c r="T256" s="53">
        <v>0</v>
      </c>
    </row>
    <row r="257" spans="1:20" ht="21.75">
      <c r="A257" s="48" t="s">
        <v>334</v>
      </c>
      <c r="B257" s="48" t="s">
        <v>179</v>
      </c>
      <c r="C257" s="51">
        <v>0</v>
      </c>
      <c r="D257" s="51">
        <v>0</v>
      </c>
      <c r="E257" s="51">
        <v>22486.05</v>
      </c>
      <c r="F257" s="51">
        <v>0</v>
      </c>
      <c r="G257" s="51">
        <v>22486.05</v>
      </c>
      <c r="H257" s="51">
        <v>0</v>
      </c>
      <c r="I257" s="51">
        <v>0</v>
      </c>
      <c r="J257" s="51">
        <v>0</v>
      </c>
      <c r="K257" s="51">
        <v>22486.05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22486.05</v>
      </c>
      <c r="R257" s="51">
        <v>0</v>
      </c>
      <c r="S257" s="51">
        <v>0</v>
      </c>
      <c r="T257" s="51">
        <v>0</v>
      </c>
    </row>
    <row r="258" spans="1:20" ht="21.75">
      <c r="A258" s="48" t="s">
        <v>335</v>
      </c>
      <c r="B258" s="48" t="s">
        <v>336</v>
      </c>
      <c r="C258" s="51">
        <v>0</v>
      </c>
      <c r="D258" s="51">
        <v>0</v>
      </c>
      <c r="E258" s="51">
        <v>41433.03</v>
      </c>
      <c r="F258" s="51">
        <v>0</v>
      </c>
      <c r="G258" s="51">
        <v>41433.03</v>
      </c>
      <c r="H258" s="51">
        <v>0</v>
      </c>
      <c r="I258" s="51">
        <v>0</v>
      </c>
      <c r="J258" s="51">
        <v>0</v>
      </c>
      <c r="K258" s="51">
        <v>41433.03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41433.03</v>
      </c>
      <c r="R258" s="51">
        <v>0</v>
      </c>
      <c r="S258" s="51">
        <v>0</v>
      </c>
      <c r="T258" s="51">
        <v>0</v>
      </c>
    </row>
    <row r="259" spans="1:20" ht="21.75">
      <c r="A259" s="48" t="s">
        <v>660</v>
      </c>
      <c r="B259" s="48" t="s">
        <v>661</v>
      </c>
      <c r="C259" s="51">
        <v>0</v>
      </c>
      <c r="D259" s="51">
        <v>0</v>
      </c>
      <c r="E259" s="51">
        <v>5700</v>
      </c>
      <c r="F259" s="51">
        <v>0</v>
      </c>
      <c r="G259" s="51">
        <v>5700</v>
      </c>
      <c r="H259" s="51">
        <v>0</v>
      </c>
      <c r="I259" s="51">
        <v>0</v>
      </c>
      <c r="J259" s="51">
        <v>0</v>
      </c>
      <c r="K259" s="51">
        <v>5700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5700</v>
      </c>
      <c r="R259" s="51">
        <v>0</v>
      </c>
      <c r="S259" s="51">
        <v>0</v>
      </c>
      <c r="T259" s="51">
        <v>0</v>
      </c>
    </row>
    <row r="260" spans="1:20" ht="21.75">
      <c r="A260" s="48"/>
      <c r="B260" s="65" t="s">
        <v>862</v>
      </c>
      <c r="C260" s="51">
        <v>0</v>
      </c>
      <c r="D260" s="51">
        <v>0</v>
      </c>
      <c r="E260" s="51">
        <v>0</v>
      </c>
      <c r="F260" s="51">
        <v>0</v>
      </c>
      <c r="G260" s="51"/>
      <c r="H260" s="51">
        <v>0</v>
      </c>
      <c r="I260" s="51"/>
      <c r="J260" s="51"/>
      <c r="K260" s="51"/>
      <c r="L260" s="51">
        <v>0</v>
      </c>
      <c r="M260" s="51"/>
      <c r="N260" s="51"/>
      <c r="O260" s="51">
        <v>0</v>
      </c>
      <c r="P260" s="51">
        <v>1783791.68</v>
      </c>
      <c r="Q260" s="51">
        <v>0</v>
      </c>
      <c r="R260" s="51">
        <v>0</v>
      </c>
      <c r="S260" s="51">
        <f>P260</f>
        <v>1783791.68</v>
      </c>
      <c r="T260" s="51">
        <v>0</v>
      </c>
    </row>
    <row r="261" spans="1:20" ht="21.75">
      <c r="A261" s="48"/>
      <c r="B261" s="65" t="s">
        <v>863</v>
      </c>
      <c r="C261" s="51"/>
      <c r="D261" s="51"/>
      <c r="E261" s="51"/>
      <c r="F261" s="51"/>
      <c r="G261" s="51"/>
      <c r="H261" s="51"/>
      <c r="I261" s="51"/>
      <c r="J261" s="51"/>
      <c r="K261" s="51">
        <f>G261-J261</f>
        <v>0</v>
      </c>
      <c r="L261" s="51"/>
      <c r="M261" s="51"/>
      <c r="N261" s="51">
        <v>19565.62</v>
      </c>
      <c r="O261" s="51"/>
      <c r="P261" s="51"/>
      <c r="Q261" s="51"/>
      <c r="R261" s="51"/>
      <c r="S261" s="51">
        <f>N261</f>
        <v>19565.62</v>
      </c>
      <c r="T261" s="51"/>
    </row>
    <row r="262" spans="1:20" s="307" customFormat="1" ht="21.75">
      <c r="A262" s="305"/>
      <c r="B262" s="311" t="s">
        <v>854</v>
      </c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>
        <v>17940</v>
      </c>
      <c r="Q262" s="306"/>
      <c r="R262" s="306"/>
      <c r="S262" s="306">
        <v>17940</v>
      </c>
      <c r="T262" s="306"/>
    </row>
    <row r="263" spans="1:20" ht="21.75">
      <c r="A263" s="49"/>
      <c r="B263" s="48" t="s">
        <v>337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/>
      <c r="N263" s="51">
        <f>งบต้นทุนการผลิต!F19</f>
        <v>473112.55999999994</v>
      </c>
      <c r="O263" s="51">
        <f>งบต้นทุนการผลิต!F19</f>
        <v>473112.55999999994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</row>
    <row r="264" spans="1:20" ht="21.75">
      <c r="A264" s="49"/>
      <c r="B264" s="48" t="s">
        <v>47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/>
      <c r="O264" s="51">
        <v>0</v>
      </c>
      <c r="P264" s="51">
        <f>'ต้นทุน 2'!F13</f>
        <v>211565966</v>
      </c>
      <c r="Q264" s="51">
        <f>P264</f>
        <v>211565966</v>
      </c>
      <c r="R264" s="51">
        <v>0</v>
      </c>
      <c r="S264" s="51">
        <v>0</v>
      </c>
      <c r="T264" s="51">
        <v>0</v>
      </c>
    </row>
    <row r="265" spans="1:20" ht="21.75">
      <c r="A265" s="49"/>
      <c r="B265" s="48" t="s">
        <v>836</v>
      </c>
      <c r="C265" s="51"/>
      <c r="D265" s="51"/>
      <c r="E265" s="51"/>
      <c r="F265" s="51"/>
      <c r="G265" s="51"/>
      <c r="H265" s="51"/>
      <c r="I265" s="51">
        <v>9990</v>
      </c>
      <c r="J265" s="51"/>
      <c r="K265" s="51">
        <v>9990</v>
      </c>
      <c r="L265" s="51"/>
      <c r="M265" s="51"/>
      <c r="N265" s="51"/>
      <c r="O265" s="51"/>
      <c r="P265" s="51"/>
      <c r="Q265" s="51"/>
      <c r="R265" s="51"/>
      <c r="S265" s="51">
        <v>9990</v>
      </c>
      <c r="T265" s="51"/>
    </row>
    <row r="266" spans="1:20" ht="21.75">
      <c r="A266" s="49"/>
      <c r="B266" s="48" t="s">
        <v>837</v>
      </c>
      <c r="C266" s="51"/>
      <c r="D266" s="51"/>
      <c r="E266" s="51"/>
      <c r="F266" s="51"/>
      <c r="G266" s="51"/>
      <c r="H266" s="51"/>
      <c r="I266" s="51">
        <v>58632.76</v>
      </c>
      <c r="J266" s="51"/>
      <c r="K266" s="51">
        <v>58632.76</v>
      </c>
      <c r="L266" s="51"/>
      <c r="M266" s="51"/>
      <c r="N266" s="51"/>
      <c r="O266" s="51"/>
      <c r="P266" s="51"/>
      <c r="Q266" s="51">
        <v>58632.76</v>
      </c>
      <c r="R266" s="51"/>
      <c r="S266" s="51"/>
      <c r="T266" s="51"/>
    </row>
    <row r="267" spans="1:20" ht="21.75">
      <c r="A267" s="49"/>
      <c r="B267" s="48" t="str">
        <f>ค่าใช้จ่าย!A26</f>
        <v>ค่าตอบแทนผู้ตรวจสอบกิจการ</v>
      </c>
      <c r="C267" s="51"/>
      <c r="D267" s="51"/>
      <c r="E267" s="51">
        <v>6000</v>
      </c>
      <c r="F267" s="51"/>
      <c r="G267" s="51">
        <v>6000</v>
      </c>
      <c r="H267" s="51"/>
      <c r="I267" s="51"/>
      <c r="J267" s="51"/>
      <c r="K267" s="51">
        <v>6000</v>
      </c>
      <c r="L267" s="51"/>
      <c r="M267" s="51"/>
      <c r="N267" s="51"/>
      <c r="O267" s="51"/>
      <c r="P267" s="51"/>
      <c r="Q267" s="51">
        <v>6000</v>
      </c>
      <c r="R267" s="51"/>
      <c r="S267" s="51"/>
      <c r="T267" s="51"/>
    </row>
    <row r="268" spans="1:20" ht="21.75">
      <c r="A268" s="49"/>
      <c r="B268" s="48" t="str">
        <f>รวบรวมผลิตผล!B18</f>
        <v> - ค่าเสื่อมราคาอาคาร ยานพาหนะ และอุปกรณ์</v>
      </c>
      <c r="C268" s="51"/>
      <c r="D268" s="51"/>
      <c r="E268" s="51"/>
      <c r="F268" s="51"/>
      <c r="G268" s="51"/>
      <c r="H268" s="51"/>
      <c r="I268" s="51">
        <v>0</v>
      </c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</row>
    <row r="269" spans="1:20" ht="21.75">
      <c r="A269" s="49"/>
      <c r="B269" s="48" t="s">
        <v>839</v>
      </c>
      <c r="C269" s="51"/>
      <c r="D269" s="51"/>
      <c r="E269" s="51"/>
      <c r="F269" s="51"/>
      <c r="G269" s="51"/>
      <c r="H269" s="51"/>
      <c r="I269" s="51">
        <v>736736.99</v>
      </c>
      <c r="J269" s="51"/>
      <c r="K269" s="51">
        <f>I269</f>
        <v>736736.99</v>
      </c>
      <c r="L269" s="51"/>
      <c r="M269" s="51"/>
      <c r="N269" s="51"/>
      <c r="O269" s="51"/>
      <c r="P269" s="51"/>
      <c r="Q269" s="51">
        <f>K269</f>
        <v>736736.99</v>
      </c>
      <c r="R269" s="51"/>
      <c r="S269" s="51"/>
      <c r="T269" s="51"/>
    </row>
    <row r="270" spans="1:20" ht="21.75">
      <c r="A270" s="49"/>
      <c r="B270" s="48" t="s">
        <v>841</v>
      </c>
      <c r="C270" s="51"/>
      <c r="D270" s="51"/>
      <c r="E270" s="51"/>
      <c r="F270" s="51"/>
      <c r="G270" s="51"/>
      <c r="H270" s="51"/>
      <c r="I270" s="51">
        <v>32520</v>
      </c>
      <c r="J270" s="51"/>
      <c r="K270" s="51">
        <f>I270</f>
        <v>32520</v>
      </c>
      <c r="L270" s="51"/>
      <c r="M270" s="51"/>
      <c r="N270" s="51"/>
      <c r="O270" s="51"/>
      <c r="P270" s="51"/>
      <c r="Q270" s="51"/>
      <c r="R270" s="51"/>
      <c r="S270" s="51">
        <f>K270</f>
        <v>32520</v>
      </c>
      <c r="T270" s="51"/>
    </row>
    <row r="271" spans="1:20" ht="21.75">
      <c r="A271" s="58"/>
      <c r="B271" s="59" t="s">
        <v>190</v>
      </c>
      <c r="C271" s="60">
        <v>0</v>
      </c>
      <c r="D271" s="60">
        <v>0</v>
      </c>
      <c r="E271" s="60">
        <v>0</v>
      </c>
      <c r="F271" s="60">
        <v>0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v>0</v>
      </c>
      <c r="O271" s="60">
        <v>0</v>
      </c>
      <c r="P271" s="60">
        <v>0</v>
      </c>
      <c r="Q271" s="60">
        <v>5949076.61</v>
      </c>
      <c r="R271" s="60">
        <v>0</v>
      </c>
      <c r="S271" s="60">
        <v>0</v>
      </c>
      <c r="T271" s="60">
        <f>Q271</f>
        <v>5949076.61</v>
      </c>
    </row>
    <row r="272" spans="1:20" s="64" customFormat="1" ht="21.75">
      <c r="A272" s="61"/>
      <c r="B272" s="62" t="s">
        <v>662</v>
      </c>
      <c r="C272" s="63">
        <f>SUM(C6:C271)</f>
        <v>407184616.75000006</v>
      </c>
      <c r="D272" s="63">
        <f>SUM(D6:D271)</f>
        <v>407184616.75000006</v>
      </c>
      <c r="E272" s="63">
        <f aca="true" t="shared" si="0" ref="E272:T272">SUM(E6:E271)</f>
        <v>2846196879.4</v>
      </c>
      <c r="F272" s="63">
        <f t="shared" si="0"/>
        <v>2846196879.4</v>
      </c>
      <c r="G272" s="63">
        <f t="shared" si="0"/>
        <v>673280496.1100001</v>
      </c>
      <c r="H272" s="63">
        <f t="shared" si="0"/>
        <v>673280496.1099998</v>
      </c>
      <c r="I272" s="63">
        <f t="shared" si="0"/>
        <v>17827977.61</v>
      </c>
      <c r="J272" s="63">
        <f t="shared" si="0"/>
        <v>17827977.610000003</v>
      </c>
      <c r="K272" s="63">
        <f t="shared" si="0"/>
        <v>685076839.0199999</v>
      </c>
      <c r="L272" s="63">
        <f t="shared" si="0"/>
        <v>685076839.0199997</v>
      </c>
      <c r="M272" s="63">
        <f t="shared" si="0"/>
        <v>492678.18000000005</v>
      </c>
      <c r="N272" s="63">
        <f t="shared" si="0"/>
        <v>492678.17999999993</v>
      </c>
      <c r="O272" s="63">
        <f t="shared" si="0"/>
        <v>213647808.44</v>
      </c>
      <c r="P272" s="63">
        <f t="shared" si="0"/>
        <v>213647808.44</v>
      </c>
      <c r="Q272" s="63">
        <f t="shared" si="0"/>
        <v>237154294.23000002</v>
      </c>
      <c r="R272" s="63">
        <f t="shared" si="0"/>
        <v>237154294.23</v>
      </c>
      <c r="S272" s="63">
        <f t="shared" si="0"/>
        <v>453591510.64</v>
      </c>
      <c r="T272" s="63">
        <f t="shared" si="0"/>
        <v>453591510.6400001</v>
      </c>
    </row>
    <row r="273" spans="6:20" ht="21.75">
      <c r="F273" s="66">
        <f>E272-F272</f>
        <v>0</v>
      </c>
      <c r="H273" s="66">
        <f>G272-H272</f>
        <v>0</v>
      </c>
      <c r="J273" s="66">
        <f>I272-J272</f>
        <v>0</v>
      </c>
      <c r="L273" s="66">
        <f>K272-L272</f>
        <v>0</v>
      </c>
      <c r="N273" s="66">
        <f>M272-N272</f>
        <v>0</v>
      </c>
      <c r="P273" s="66">
        <f>O272-P272</f>
        <v>0</v>
      </c>
      <c r="R273" s="66">
        <f>+Q272-R272</f>
        <v>0</v>
      </c>
      <c r="T273" s="66">
        <f>+S272-T272</f>
        <v>0</v>
      </c>
    </row>
    <row r="274" ht="21.75"/>
    <row r="275" ht="21.75"/>
    <row r="276" ht="21.75"/>
    <row r="277" ht="21.75"/>
    <row r="278" ht="21.75"/>
    <row r="279" ht="21.75"/>
    <row r="280" ht="21.75"/>
    <row r="281" ht="21.75"/>
    <row r="282" ht="21.75"/>
    <row r="283" ht="21.75"/>
    <row r="284" ht="21.75"/>
    <row r="285" ht="21.75"/>
    <row r="286" ht="21.75"/>
    <row r="287" ht="21.75"/>
    <row r="288" ht="21.75"/>
    <row r="289" ht="21.75"/>
    <row r="290" ht="21.75"/>
    <row r="291" ht="21.75"/>
    <row r="292" ht="21.75"/>
    <row r="293" ht="21.75"/>
    <row r="294" ht="21.75"/>
    <row r="295" ht="21.75"/>
    <row r="296" ht="21.75"/>
    <row r="297" ht="21.75"/>
    <row r="298" ht="21.75"/>
    <row r="299" ht="21.75"/>
    <row r="300" ht="21.75"/>
    <row r="301" ht="21.75"/>
    <row r="302" ht="21.75"/>
    <row r="303" ht="21.75"/>
    <row r="304" ht="21.75"/>
    <row r="305" ht="21.75"/>
    <row r="306" ht="21.75"/>
    <row r="307" ht="21.75"/>
    <row r="308" ht="21.75"/>
    <row r="309" ht="21.75"/>
    <row r="310" ht="21.75"/>
    <row r="311" ht="21.75"/>
    <row r="312" ht="21.75"/>
    <row r="313" ht="21.75"/>
    <row r="314" ht="21.75"/>
    <row r="315" ht="21.75"/>
    <row r="316" ht="21.75"/>
    <row r="317" ht="21.75"/>
    <row r="318" ht="21.75"/>
    <row r="319" ht="21.75"/>
    <row r="320" ht="21.75"/>
    <row r="321" ht="21.75"/>
    <row r="322" ht="21.75"/>
    <row r="323" ht="21.75"/>
    <row r="324" ht="21.75"/>
    <row r="325" ht="21.75"/>
    <row r="326" ht="21.75"/>
    <row r="327" ht="21.75"/>
    <row r="328" ht="21.75"/>
    <row r="329" ht="21.75"/>
    <row r="330" ht="21.75"/>
    <row r="331" ht="21.75"/>
    <row r="332" ht="21.75"/>
    <row r="333" ht="21.75"/>
    <row r="334" ht="21.75"/>
    <row r="335" ht="21.75"/>
    <row r="336" ht="21.75"/>
    <row r="337" ht="21.75"/>
    <row r="338" ht="21.75"/>
    <row r="339" ht="21.75"/>
    <row r="340" ht="21.75"/>
    <row r="341" ht="21.75"/>
    <row r="342" ht="21.75"/>
    <row r="343" ht="21.75"/>
    <row r="344" ht="21.75"/>
    <row r="345" ht="21.75"/>
    <row r="346" ht="21.75"/>
    <row r="347" ht="21.75"/>
    <row r="348" ht="21.75"/>
    <row r="349" ht="21.75"/>
    <row r="350" ht="21.75"/>
    <row r="351" ht="21.75"/>
    <row r="352" ht="21.75"/>
    <row r="353" ht="21.75"/>
    <row r="354" ht="21.75"/>
    <row r="355" ht="21.75"/>
    <row r="356" ht="21.75"/>
    <row r="357" ht="21.75"/>
    <row r="358" ht="21.75"/>
    <row r="359" ht="21.75"/>
    <row r="360" ht="21.75"/>
    <row r="361" ht="21.75"/>
    <row r="362" ht="21.75"/>
    <row r="363" ht="21.75"/>
    <row r="364" ht="21.75"/>
    <row r="365" ht="21.75"/>
    <row r="366" ht="21.75"/>
    <row r="367" ht="21.75"/>
    <row r="368" ht="21.75"/>
    <row r="369" ht="21.75"/>
    <row r="370" ht="21.75"/>
    <row r="371" ht="21.75"/>
    <row r="372" ht="21.75"/>
    <row r="373" ht="21.75"/>
    <row r="374" ht="21.75"/>
    <row r="375" ht="21.75"/>
    <row r="376" ht="21.75"/>
    <row r="377" ht="21.75"/>
    <row r="378" ht="21.75"/>
    <row r="379" ht="21.75"/>
    <row r="380" ht="21.75"/>
    <row r="381" ht="21.75"/>
    <row r="382" ht="21.75"/>
    <row r="383" ht="21.75"/>
    <row r="384" ht="21.75"/>
    <row r="385" ht="21.75"/>
    <row r="386" ht="21.75"/>
    <row r="387" ht="21.75"/>
    <row r="388" ht="21.75"/>
    <row r="389" ht="21.75"/>
    <row r="390" ht="21.75"/>
    <row r="391" ht="21.75"/>
    <row r="392" ht="21.75"/>
    <row r="393" ht="21.75"/>
    <row r="394" ht="21.75"/>
    <row r="395" ht="21.75"/>
    <row r="396" ht="21.75"/>
    <row r="397" ht="21.75"/>
    <row r="398" ht="21.75"/>
    <row r="399" ht="21.75"/>
    <row r="400" ht="21.75"/>
    <row r="401" ht="21.75"/>
    <row r="402" ht="21.75"/>
    <row r="403" ht="21.75"/>
    <row r="404" ht="21.75"/>
    <row r="405" ht="21.75"/>
    <row r="406" ht="21.75"/>
    <row r="407" ht="21.75"/>
    <row r="408" ht="21.75"/>
    <row r="409" ht="21.75"/>
    <row r="410" ht="21.75"/>
    <row r="411" ht="21.75"/>
    <row r="412" ht="21.75"/>
    <row r="413" ht="21.75"/>
    <row r="414" ht="21.75"/>
    <row r="415" ht="21.75"/>
    <row r="416" ht="21.75"/>
    <row r="417" ht="21.75"/>
    <row r="418" ht="21.75"/>
    <row r="419" ht="21.75"/>
    <row r="420" ht="21.75"/>
    <row r="421" ht="21.75"/>
    <row r="422" ht="21.75"/>
    <row r="423" ht="21.75"/>
    <row r="424" ht="21.75"/>
    <row r="425" ht="21.75"/>
    <row r="426" ht="21.75"/>
    <row r="427" ht="21.75"/>
    <row r="428" ht="21.75"/>
    <row r="429" ht="21.75"/>
    <row r="430" ht="21.75"/>
    <row r="431" ht="21.75"/>
    <row r="432" ht="21.75"/>
    <row r="433" ht="21.75"/>
    <row r="434" ht="21.75"/>
    <row r="435" ht="21.75"/>
    <row r="436" ht="21.75"/>
    <row r="437" ht="21.75"/>
    <row r="438" ht="21.75"/>
    <row r="439" ht="21.75"/>
    <row r="440" ht="21.75"/>
    <row r="441" ht="21.75"/>
    <row r="442" ht="21.75"/>
    <row r="443" ht="21.75"/>
    <row r="444" ht="21.75"/>
    <row r="445" ht="21.75"/>
    <row r="446" ht="21.75"/>
    <row r="447" ht="21.75"/>
    <row r="448" ht="21.75"/>
    <row r="449" ht="21.75"/>
    <row r="450" ht="21.75"/>
    <row r="451" ht="21.75"/>
    <row r="452" ht="21.75"/>
    <row r="453" ht="21.75"/>
    <row r="454" ht="21.75"/>
    <row r="455" ht="21.75"/>
    <row r="456" ht="21.75"/>
    <row r="457" ht="21.75"/>
    <row r="458" ht="21.75"/>
    <row r="459" ht="21.75"/>
    <row r="460" ht="21.75"/>
    <row r="461" ht="21.75"/>
    <row r="462" ht="21.75"/>
    <row r="463" ht="21.75"/>
    <row r="464" ht="21.75"/>
    <row r="465" ht="21.75"/>
    <row r="466" ht="21.75"/>
    <row r="467" ht="21.75"/>
    <row r="468" ht="21.75"/>
    <row r="469" ht="21.75"/>
    <row r="470" ht="21.75"/>
    <row r="471" ht="21.75"/>
    <row r="472" ht="21.75"/>
    <row r="473" ht="21.75"/>
    <row r="474" ht="21.75"/>
    <row r="475" ht="21.75"/>
    <row r="476" ht="21.75"/>
    <row r="477" ht="21.75"/>
    <row r="478" ht="21.75"/>
    <row r="479" ht="21.75"/>
    <row r="480" ht="21.75"/>
    <row r="481" ht="21.75"/>
    <row r="482" ht="21.75"/>
    <row r="483" ht="21.75"/>
    <row r="484" ht="21.75"/>
    <row r="485" ht="21.75"/>
    <row r="486" ht="21.75"/>
    <row r="487" ht="21.75"/>
    <row r="488" ht="21.75"/>
    <row r="489" ht="21.75"/>
    <row r="490" ht="21.75"/>
    <row r="491" ht="21.75"/>
    <row r="492" ht="21.75"/>
    <row r="493" ht="21.75"/>
    <row r="494" ht="21.75"/>
    <row r="495" ht="21.75"/>
    <row r="496" ht="21.75"/>
    <row r="497" ht="21.75"/>
    <row r="498" ht="21.75"/>
    <row r="499" ht="21.75"/>
    <row r="500" ht="21.75"/>
    <row r="501" ht="21.75"/>
    <row r="502" ht="21.75"/>
    <row r="503" ht="21.75"/>
    <row r="504" ht="21.75"/>
    <row r="505" ht="21.75"/>
    <row r="506" ht="21.75"/>
    <row r="507" ht="21.75"/>
    <row r="508" ht="21.75"/>
    <row r="509" ht="21.75"/>
    <row r="510" ht="21.75"/>
    <row r="511" ht="21.75"/>
    <row r="512" ht="21.75"/>
    <row r="513" ht="21.75"/>
    <row r="514" ht="21.75"/>
    <row r="515" ht="21.75"/>
    <row r="516" ht="21.75"/>
    <row r="517" ht="21.75"/>
    <row r="518" ht="21.75"/>
    <row r="519" ht="21.75"/>
    <row r="520" ht="21.75"/>
    <row r="521" ht="21.75"/>
    <row r="522" ht="21.75"/>
    <row r="523" ht="21.75"/>
    <row r="524" ht="21.75"/>
    <row r="525" ht="21.75"/>
    <row r="526" ht="21.75"/>
    <row r="527" ht="21.75"/>
    <row r="528" ht="21.75"/>
    <row r="529" ht="21.75"/>
    <row r="530" ht="21.75"/>
    <row r="531" ht="21.75"/>
    <row r="532" ht="21.75"/>
    <row r="533" ht="21.75"/>
    <row r="534" ht="21.75"/>
    <row r="535" ht="21.75"/>
    <row r="536" ht="21.75"/>
    <row r="537" ht="21.75"/>
    <row r="538" ht="21.75"/>
    <row r="539" ht="21.75"/>
    <row r="540" ht="21.75"/>
    <row r="541" ht="21.75"/>
    <row r="542" ht="21.75"/>
    <row r="543" ht="21.75"/>
    <row r="544" ht="21.75"/>
    <row r="545" ht="21.75"/>
    <row r="546" ht="21.75"/>
    <row r="547" ht="21.75"/>
    <row r="548" ht="21.75"/>
    <row r="549" ht="21.75"/>
    <row r="550" ht="21.75"/>
    <row r="551" ht="21.75"/>
    <row r="552" ht="21.75"/>
    <row r="553" ht="21.75"/>
    <row r="554" ht="21.75"/>
    <row r="555" ht="21.75"/>
    <row r="556" ht="21.75"/>
    <row r="557" ht="21.75"/>
    <row r="558" ht="21.75"/>
    <row r="559" ht="21.75"/>
    <row r="560" ht="21.75"/>
    <row r="561" ht="21.75"/>
    <row r="562" ht="21.75"/>
    <row r="563" ht="21.75"/>
    <row r="564" ht="21.75"/>
    <row r="565" ht="21.75"/>
    <row r="566" ht="21.75"/>
    <row r="567" ht="21.75"/>
    <row r="568" ht="21.75"/>
    <row r="569" ht="21.75"/>
    <row r="570" ht="21.75"/>
    <row r="571" ht="21.75"/>
    <row r="572" ht="21.75"/>
    <row r="573" ht="21.75"/>
    <row r="574" ht="21.75"/>
    <row r="575" ht="21.75"/>
    <row r="576" ht="21.75"/>
    <row r="577" ht="21.75"/>
    <row r="578" ht="21.75"/>
    <row r="579" ht="21.75"/>
    <row r="580" ht="21.75"/>
    <row r="581" ht="21.75"/>
    <row r="582" ht="21.75"/>
    <row r="583" ht="21.75"/>
    <row r="584" ht="21.75"/>
    <row r="585" ht="21.75"/>
    <row r="586" ht="21.75"/>
    <row r="587" ht="21.75"/>
    <row r="588" ht="21.75"/>
    <row r="589" ht="21.75"/>
    <row r="590" ht="21.75"/>
    <row r="591" ht="21.75"/>
    <row r="592" ht="21.75"/>
    <row r="593" ht="21.75"/>
    <row r="594" ht="21.75"/>
    <row r="595" ht="21.75"/>
    <row r="596" ht="21.75"/>
    <row r="597" ht="21.75"/>
    <row r="598" ht="21.75"/>
    <row r="599" ht="21.75"/>
    <row r="600" ht="21.75"/>
    <row r="601" ht="21.75"/>
    <row r="602" ht="21.75"/>
    <row r="603" ht="21.75"/>
    <row r="604" ht="21.75"/>
    <row r="605" ht="21.75"/>
    <row r="606" ht="21.75"/>
    <row r="607" ht="21.75"/>
    <row r="608" ht="21.75"/>
    <row r="609" ht="21.75"/>
    <row r="610" ht="21.75"/>
    <row r="611" ht="21.75"/>
    <row r="612" ht="21.75"/>
    <row r="613" ht="21.75"/>
    <row r="614" ht="21.75"/>
    <row r="615" ht="21.75"/>
    <row r="616" ht="21.75"/>
    <row r="617" ht="21.75"/>
    <row r="618" ht="21.75"/>
    <row r="619" ht="21.75"/>
    <row r="620" ht="21.75"/>
    <row r="621" ht="21.75"/>
    <row r="622" ht="21.75"/>
    <row r="623" ht="21.75"/>
    <row r="624" ht="21.75"/>
    <row r="625" ht="21.75"/>
    <row r="626" ht="21.75"/>
    <row r="627" ht="21.75"/>
    <row r="628" ht="21.75"/>
    <row r="629" ht="21.75"/>
    <row r="630" ht="21.75"/>
    <row r="631" ht="21.75"/>
    <row r="632" ht="21.75"/>
    <row r="633" ht="21.75"/>
    <row r="634" ht="21.75"/>
    <row r="635" ht="21.75"/>
    <row r="636" ht="21.75"/>
    <row r="637" ht="21.75"/>
    <row r="638" ht="21.75"/>
    <row r="639" ht="21.75"/>
    <row r="640" ht="21.75"/>
    <row r="641" ht="21.75"/>
    <row r="642" ht="21.75"/>
    <row r="643" ht="21.75"/>
    <row r="644" ht="21.75"/>
    <row r="645" ht="21.75"/>
    <row r="646" ht="21.75"/>
    <row r="647" ht="21.75"/>
    <row r="648" ht="21.75"/>
    <row r="649" ht="21.75"/>
    <row r="650" ht="21.75"/>
    <row r="651" ht="21.75"/>
    <row r="652" ht="21.75"/>
    <row r="653" ht="21.75"/>
    <row r="654" ht="21.75"/>
    <row r="655" ht="21.75"/>
    <row r="656" ht="21.75"/>
    <row r="657" ht="21.75"/>
    <row r="658" ht="21.75"/>
    <row r="659" ht="21.75"/>
    <row r="660" ht="21.75"/>
    <row r="661" ht="21.75"/>
    <row r="662" ht="21.75"/>
    <row r="663" ht="21.75"/>
    <row r="664" ht="21.75"/>
    <row r="665" ht="21.75"/>
    <row r="666" ht="21.75"/>
    <row r="667" ht="21.75"/>
    <row r="668" ht="21.75"/>
    <row r="669" ht="21.75"/>
    <row r="670" ht="21.75"/>
    <row r="671" ht="21.75"/>
    <row r="672" ht="21.75"/>
    <row r="673" ht="21.75"/>
    <row r="674" ht="21.75"/>
    <row r="675" ht="21.75"/>
    <row r="676" ht="21.75"/>
    <row r="677" ht="21.75"/>
    <row r="678" ht="21.75"/>
    <row r="679" ht="21.75"/>
    <row r="680" ht="21.75"/>
    <row r="681" ht="21.75"/>
    <row r="682" ht="21.75"/>
    <row r="683" ht="21.75"/>
    <row r="684" ht="21.75"/>
    <row r="685" ht="21.75"/>
    <row r="686" ht="21.75"/>
    <row r="687" ht="21.75"/>
    <row r="688" ht="21.75"/>
    <row r="689" ht="21.75"/>
    <row r="690" ht="21.75"/>
    <row r="691" ht="21.75"/>
    <row r="692" ht="21.75"/>
    <row r="693" ht="21.75"/>
    <row r="694" ht="21.75"/>
    <row r="695" ht="21.75"/>
    <row r="696" ht="21.75"/>
    <row r="697" ht="21.75"/>
    <row r="698" ht="21.75"/>
    <row r="699" ht="21.75"/>
    <row r="700" ht="21.75"/>
    <row r="701" ht="21.75"/>
    <row r="702" ht="21.75"/>
    <row r="703" ht="21.75"/>
    <row r="704" ht="21.75"/>
    <row r="705" ht="21.75"/>
    <row r="706" ht="21.75"/>
    <row r="707" ht="21.75"/>
    <row r="708" ht="21.75"/>
    <row r="709" ht="21.75"/>
    <row r="710" ht="21.75"/>
    <row r="711" ht="21.75"/>
    <row r="712" ht="21.75"/>
    <row r="713" ht="21.75"/>
    <row r="714" ht="21.75"/>
    <row r="715" ht="21.75"/>
    <row r="716" ht="21.75"/>
    <row r="717" ht="21.75"/>
    <row r="718" ht="21.75"/>
    <row r="719" ht="21.75"/>
    <row r="720" ht="21.75"/>
    <row r="721" ht="21.75"/>
    <row r="722" ht="21.75"/>
    <row r="723" ht="21.75"/>
    <row r="724" ht="21.75"/>
    <row r="725" ht="21.75"/>
    <row r="726" ht="21.75"/>
    <row r="727" ht="21.75"/>
    <row r="728" ht="21.75"/>
    <row r="729" ht="21.75"/>
    <row r="730" ht="21.75"/>
    <row r="731" ht="21.75"/>
    <row r="732" ht="21.75"/>
    <row r="733" ht="21.75"/>
    <row r="734" ht="21.75"/>
    <row r="735" ht="21.75"/>
    <row r="736" ht="21.75"/>
    <row r="737" ht="21.75"/>
    <row r="738" ht="21.75"/>
    <row r="739" ht="21.75"/>
    <row r="740" ht="21.75"/>
    <row r="741" ht="21.75"/>
    <row r="742" ht="21.75"/>
    <row r="743" ht="21.75"/>
    <row r="744" ht="21.75"/>
    <row r="745" ht="21.75"/>
    <row r="746" ht="21.75"/>
    <row r="747" ht="21.75"/>
    <row r="748" ht="21.75"/>
    <row r="749" ht="21.75"/>
    <row r="750" ht="21.75"/>
    <row r="751" ht="21.75"/>
    <row r="752" ht="21.75"/>
    <row r="753" ht="21.75"/>
    <row r="754" ht="21.75"/>
    <row r="755" ht="21.75"/>
    <row r="756" ht="21.75"/>
    <row r="757" ht="21.75"/>
    <row r="758" ht="21.75"/>
    <row r="759" ht="21.75"/>
    <row r="760" ht="21.75"/>
    <row r="761" ht="21.75"/>
    <row r="762" ht="21.75"/>
    <row r="763" ht="21.75"/>
    <row r="764" ht="21.75"/>
    <row r="765" ht="21.75"/>
    <row r="766" ht="21.75"/>
    <row r="767" ht="21.75"/>
    <row r="768" ht="21.75"/>
    <row r="769" ht="21.75"/>
    <row r="770" ht="21.75"/>
    <row r="771" ht="21.75"/>
    <row r="772" ht="21.75"/>
    <row r="773" ht="21.75"/>
    <row r="774" ht="21.75"/>
    <row r="775" ht="21.75"/>
    <row r="776" ht="21.75"/>
    <row r="777" ht="21.75"/>
    <row r="778" ht="21.75"/>
    <row r="779" ht="21.75"/>
    <row r="780" ht="21.75"/>
    <row r="781" ht="21.75"/>
    <row r="782" ht="21.75"/>
    <row r="783" ht="21.75"/>
    <row r="784" ht="21.75"/>
    <row r="785" ht="21.75"/>
    <row r="786" ht="21.75"/>
    <row r="787" ht="21.75"/>
    <row r="788" ht="21.75"/>
    <row r="789" ht="21.75"/>
    <row r="790" ht="21.75"/>
    <row r="791" ht="21.75"/>
    <row r="792" ht="21.75"/>
    <row r="793" ht="21.75"/>
    <row r="794" ht="21.75"/>
    <row r="795" ht="21.75"/>
    <row r="796" ht="21.75"/>
    <row r="797" ht="21.75"/>
    <row r="798" ht="21.75"/>
    <row r="799" ht="21.75"/>
    <row r="800" ht="21.75"/>
    <row r="801" ht="21.75"/>
    <row r="802" ht="21.75"/>
    <row r="803" ht="21.75"/>
    <row r="804" ht="21.75"/>
    <row r="805" ht="21.75"/>
    <row r="806" ht="21.75"/>
    <row r="807" ht="21.75"/>
    <row r="808" ht="21.75"/>
    <row r="809" ht="21.75"/>
    <row r="810" ht="21.75"/>
    <row r="811" ht="21.75"/>
    <row r="812" ht="21.75"/>
    <row r="813" ht="21.75"/>
    <row r="814" ht="21.75"/>
    <row r="815" ht="21.75"/>
    <row r="816" ht="21.75"/>
    <row r="817" ht="21.75"/>
    <row r="818" ht="21.75"/>
    <row r="819" ht="21.75"/>
    <row r="820" ht="21.75"/>
    <row r="821" ht="21.75"/>
    <row r="822" ht="21.75"/>
    <row r="823" ht="21.75"/>
    <row r="824" ht="21.75"/>
    <row r="825" ht="21.75"/>
    <row r="826" ht="21.75"/>
    <row r="827" ht="21.75"/>
    <row r="828" ht="21.75"/>
    <row r="829" ht="21.75"/>
    <row r="830" ht="21.75"/>
    <row r="831" ht="21.75"/>
    <row r="832" ht="21.75"/>
    <row r="833" ht="21.75"/>
    <row r="834" ht="21.75"/>
    <row r="835" ht="21.75"/>
    <row r="836" ht="21.75"/>
    <row r="837" ht="21.75"/>
    <row r="838" ht="21.75"/>
    <row r="839" ht="21.75"/>
    <row r="840" ht="21.75"/>
    <row r="841" ht="21.75"/>
    <row r="842" ht="21.75"/>
    <row r="843" ht="21.75"/>
    <row r="844" ht="21.75"/>
    <row r="845" ht="21.75"/>
    <row r="846" ht="21.75"/>
    <row r="847" ht="21.75"/>
    <row r="848" ht="21.75"/>
    <row r="849" ht="21.75"/>
    <row r="850" ht="21.75"/>
    <row r="851" ht="21.75"/>
    <row r="852" ht="21.75"/>
    <row r="853" ht="21.75"/>
    <row r="854" ht="21.75"/>
    <row r="855" ht="21.75"/>
    <row r="856" ht="21.75"/>
    <row r="857" ht="21.75"/>
    <row r="858" ht="21.75"/>
    <row r="859" ht="21.75"/>
    <row r="860" ht="21.75"/>
    <row r="861" ht="21.75"/>
    <row r="862" ht="21.75"/>
    <row r="863" ht="21.75"/>
    <row r="864" ht="21.75"/>
    <row r="865" ht="21.75"/>
    <row r="866" ht="21.75"/>
    <row r="867" ht="21.75"/>
    <row r="868" ht="21.75"/>
    <row r="869" ht="21.75"/>
    <row r="870" ht="21.75"/>
    <row r="871" ht="21.75"/>
    <row r="872" ht="21.75"/>
    <row r="873" ht="21.75"/>
    <row r="874" ht="21.75"/>
    <row r="875" ht="21.75"/>
    <row r="876" ht="21.75"/>
    <row r="877" ht="21.75"/>
    <row r="878" ht="21.75"/>
    <row r="879" ht="21.75"/>
    <row r="880" ht="21.75"/>
    <row r="881" ht="21.75"/>
    <row r="882" ht="21.75"/>
    <row r="883" ht="21.75"/>
    <row r="884" ht="21.75"/>
    <row r="885" ht="21.75"/>
    <row r="886" ht="21.75"/>
    <row r="887" ht="21.75"/>
    <row r="888" ht="21.75"/>
    <row r="889" ht="21.75"/>
    <row r="890" ht="21.75"/>
    <row r="891" ht="21.75"/>
    <row r="892" ht="21.75"/>
    <row r="893" ht="21.75"/>
    <row r="894" ht="21.75"/>
    <row r="895" ht="21.75"/>
    <row r="896" ht="21.75"/>
    <row r="897" ht="21.75"/>
    <row r="898" ht="21.75"/>
    <row r="899" ht="21.75"/>
    <row r="900" ht="21.75"/>
    <row r="901" ht="21.75"/>
    <row r="902" ht="21.75"/>
    <row r="903" ht="21.75"/>
    <row r="904" ht="21.75"/>
    <row r="905" ht="21.75"/>
    <row r="906" ht="21.75"/>
    <row r="907" ht="21.75"/>
    <row r="908" ht="21.75"/>
    <row r="909" ht="21.75"/>
    <row r="910" ht="21.75"/>
    <row r="911" ht="21.75"/>
    <row r="912" ht="21.75"/>
    <row r="913" ht="21.75"/>
    <row r="914" ht="21.75"/>
    <row r="915" ht="21.75"/>
    <row r="916" ht="21.75"/>
    <row r="917" ht="21.75"/>
    <row r="918" ht="21.75"/>
    <row r="919" ht="21.75"/>
    <row r="920" ht="21.75"/>
    <row r="921" ht="21.75"/>
    <row r="922" ht="21.75"/>
    <row r="923" ht="21.75"/>
    <row r="924" ht="21.75"/>
    <row r="925" ht="21.75"/>
    <row r="926" ht="21.75"/>
    <row r="927" ht="21.75"/>
    <row r="928" ht="21.75"/>
    <row r="929" ht="21.75"/>
    <row r="930" ht="21.75"/>
    <row r="931" ht="21.75"/>
    <row r="932" ht="21.75"/>
    <row r="933" ht="21.75"/>
    <row r="934" ht="21.75"/>
    <row r="935" ht="21.75"/>
    <row r="936" ht="21.75"/>
    <row r="937" ht="21.75"/>
    <row r="938" ht="21.75"/>
    <row r="939" ht="21.75"/>
    <row r="940" ht="21.75"/>
    <row r="941" ht="21.75"/>
    <row r="942" ht="21.75"/>
    <row r="943" ht="21.75"/>
    <row r="944" ht="21.75"/>
    <row r="945" ht="21.75"/>
    <row r="946" ht="21.75"/>
    <row r="947" ht="21.75"/>
    <row r="948" ht="21.75"/>
    <row r="949" ht="21.75"/>
    <row r="950" ht="21.75"/>
    <row r="951" ht="21.75"/>
    <row r="952" ht="21.75"/>
    <row r="953" ht="21.75"/>
    <row r="954" ht="21.75"/>
    <row r="955" ht="21.75"/>
    <row r="956" ht="21.75"/>
    <row r="957" ht="21.75"/>
    <row r="958" ht="21.75"/>
    <row r="959" ht="21.75"/>
    <row r="960" ht="21.75"/>
    <row r="961" ht="21.75"/>
    <row r="962" ht="21.75"/>
    <row r="963" ht="21.75"/>
    <row r="964" ht="21.75"/>
    <row r="965" ht="21.75"/>
    <row r="966" ht="21.75"/>
    <row r="967" ht="21.75"/>
    <row r="968" ht="21.75"/>
    <row r="969" ht="21.75"/>
    <row r="970" ht="21.75"/>
    <row r="971" ht="21.75"/>
    <row r="972" ht="21.75"/>
    <row r="973" ht="21.75"/>
    <row r="974" ht="21.75"/>
    <row r="975" ht="21.75"/>
    <row r="976" ht="21.75"/>
    <row r="977" ht="21.75"/>
  </sheetData>
  <sheetProtection/>
  <mergeCells count="12">
    <mergeCell ref="K4:L4"/>
    <mergeCell ref="M4:N4"/>
    <mergeCell ref="O4:P4"/>
    <mergeCell ref="Q4:R4"/>
    <mergeCell ref="S4:T4"/>
    <mergeCell ref="A1:T1"/>
    <mergeCell ref="A2:T2"/>
    <mergeCell ref="A3:T3"/>
    <mergeCell ref="C4:D4"/>
    <mergeCell ref="E4:F4"/>
    <mergeCell ref="G4:H4"/>
    <mergeCell ref="I4:J4"/>
  </mergeCells>
  <printOptions/>
  <pageMargins left="0.35433070866141736" right="0.31496062992125984" top="0.3937007874015748" bottom="0.7874015748031497" header="0.5118110236220472" footer="0.5118110236220472"/>
  <pageSetup horizontalDpi="180" verticalDpi="180" orientation="landscape" paperSize="9" r:id="rId1"/>
  <headerFooter alignWithMargins="0">
    <oddFooter>&amp;Cหน้าที่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N21"/>
  <sheetViews>
    <sheetView tabSelected="1" zoomScaleSheetLayoutView="100" zoomScalePageLayoutView="0" workbookViewId="0" topLeftCell="A7">
      <selection activeCell="C21" sqref="C21"/>
    </sheetView>
  </sheetViews>
  <sheetFormatPr defaultColWidth="9.140625" defaultRowHeight="21.75"/>
  <cols>
    <col min="1" max="1" width="32.57421875" style="70" customWidth="1"/>
    <col min="2" max="2" width="9.140625" style="70" customWidth="1"/>
    <col min="3" max="3" width="14.28125" style="109" bestFit="1" customWidth="1"/>
    <col min="4" max="4" width="2.7109375" style="70" customWidth="1"/>
    <col min="5" max="5" width="9.7109375" style="232" customWidth="1"/>
    <col min="6" max="6" width="2.7109375" style="70" customWidth="1"/>
    <col min="7" max="7" width="13.7109375" style="109" bestFit="1" customWidth="1"/>
    <col min="8" max="8" width="2.7109375" style="70" customWidth="1"/>
    <col min="9" max="9" width="9.7109375" style="232" customWidth="1"/>
    <col min="10" max="10" width="2.7109375" style="70" customWidth="1"/>
    <col min="11" max="11" width="2.7109375" style="291" customWidth="1"/>
    <col min="12" max="12" width="9.8515625" style="296" bestFit="1" customWidth="1"/>
    <col min="13" max="16384" width="9.140625" style="70" customWidth="1"/>
  </cols>
  <sheetData>
    <row r="1" spans="2:12" ht="21">
      <c r="B1" s="69"/>
      <c r="C1" s="289"/>
      <c r="D1" s="69"/>
      <c r="E1" s="290"/>
      <c r="G1" s="144"/>
      <c r="H1" s="144"/>
      <c r="I1" s="297" t="s">
        <v>392</v>
      </c>
      <c r="J1" s="144"/>
      <c r="L1" s="292"/>
    </row>
    <row r="2" spans="1:12" ht="12.75" customHeight="1">
      <c r="A2" s="147"/>
      <c r="B2" s="147"/>
      <c r="C2" s="103"/>
      <c r="D2" s="147"/>
      <c r="E2" s="290"/>
      <c r="F2" s="147"/>
      <c r="G2" s="101"/>
      <c r="H2" s="147"/>
      <c r="I2" s="290"/>
      <c r="L2" s="292"/>
    </row>
    <row r="3" spans="1:12" ht="21">
      <c r="A3" s="329" t="s">
        <v>39</v>
      </c>
      <c r="B3" s="329"/>
      <c r="C3" s="329"/>
      <c r="D3" s="329"/>
      <c r="E3" s="329"/>
      <c r="F3" s="329"/>
      <c r="G3" s="329"/>
      <c r="H3" s="329"/>
      <c r="I3" s="329"/>
      <c r="L3" s="292"/>
    </row>
    <row r="4" spans="1:12" ht="13.5" customHeight="1">
      <c r="A4" s="80"/>
      <c r="B4" s="80"/>
      <c r="C4" s="110"/>
      <c r="D4" s="80"/>
      <c r="E4" s="110"/>
      <c r="F4" s="80"/>
      <c r="G4" s="110"/>
      <c r="H4" s="80"/>
      <c r="I4" s="110"/>
      <c r="L4" s="292"/>
    </row>
    <row r="5" spans="3:12" ht="23.25" customHeight="1">
      <c r="C5" s="331" t="s">
        <v>730</v>
      </c>
      <c r="D5" s="331"/>
      <c r="E5" s="331"/>
      <c r="F5" s="293"/>
      <c r="G5" s="331" t="s">
        <v>444</v>
      </c>
      <c r="H5" s="331"/>
      <c r="I5" s="331"/>
      <c r="L5" s="292"/>
    </row>
    <row r="6" spans="3:12" ht="23.25" customHeight="1">
      <c r="C6" s="110" t="s">
        <v>9</v>
      </c>
      <c r="E6" s="110" t="s">
        <v>32</v>
      </c>
      <c r="F6" s="80"/>
      <c r="G6" s="110" t="s">
        <v>9</v>
      </c>
      <c r="I6" s="110" t="s">
        <v>32</v>
      </c>
      <c r="L6" s="292"/>
    </row>
    <row r="7" spans="3:12" ht="9.75" customHeight="1">
      <c r="C7" s="119"/>
      <c r="G7" s="119"/>
      <c r="L7" s="292"/>
    </row>
    <row r="8" spans="1:12" ht="23.25" customHeight="1">
      <c r="A8" s="70" t="s">
        <v>84</v>
      </c>
      <c r="C8" s="82">
        <f>กระดาษทำการงบทดลองเครื่อง!R167</f>
        <v>44801.54</v>
      </c>
      <c r="E8" s="232">
        <v>0.02</v>
      </c>
      <c r="G8" s="82">
        <v>44211.59</v>
      </c>
      <c r="I8" s="232">
        <v>0.02</v>
      </c>
      <c r="L8" s="292">
        <f aca="true" t="shared" si="0" ref="L8:L20">(C8*$L$21)/$C$21</f>
        <v>0.019165414817209694</v>
      </c>
    </row>
    <row r="9" spans="1:12" ht="23.25" customHeight="1">
      <c r="A9" s="70" t="s">
        <v>169</v>
      </c>
      <c r="C9" s="82">
        <f>กระดาษทำการงบทดลองเครื่อง!R172</f>
        <v>1390198.14</v>
      </c>
      <c r="E9" s="232">
        <v>0.59</v>
      </c>
      <c r="G9" s="82">
        <v>733342.06</v>
      </c>
      <c r="I9" s="232">
        <v>0.37</v>
      </c>
      <c r="L9" s="292">
        <f t="shared" si="0"/>
        <v>0.5947055398366519</v>
      </c>
    </row>
    <row r="10" spans="1:12" ht="23.25" customHeight="1">
      <c r="A10" s="70" t="s">
        <v>40</v>
      </c>
      <c r="C10" s="82">
        <f>กระดาษทำการงบทดลองเครื่อง!R168</f>
        <v>7523.53</v>
      </c>
      <c r="E10" s="232">
        <v>0</v>
      </c>
      <c r="G10" s="82">
        <v>6308.55</v>
      </c>
      <c r="I10" s="232">
        <v>0</v>
      </c>
      <c r="L10" s="292">
        <f t="shared" si="0"/>
        <v>0.0032184512706420723</v>
      </c>
    </row>
    <row r="11" spans="1:12" ht="23.25" customHeight="1">
      <c r="A11" s="70" t="s">
        <v>387</v>
      </c>
      <c r="C11" s="82">
        <f>กระดาษทำการงบทดลองเครื่อง!R171</f>
        <v>12000</v>
      </c>
      <c r="E11" s="232">
        <v>0.01</v>
      </c>
      <c r="G11" s="82">
        <v>11400</v>
      </c>
      <c r="I11" s="232">
        <v>0</v>
      </c>
      <c r="L11" s="292">
        <f t="shared" si="0"/>
        <v>0.0051334167934074665</v>
      </c>
    </row>
    <row r="12" spans="1:12" ht="23.25" customHeight="1">
      <c r="A12" s="70" t="s">
        <v>717</v>
      </c>
      <c r="C12" s="82">
        <f>กระดาษทำการงบทดลองเครื่อง!R176</f>
        <v>20400</v>
      </c>
      <c r="E12" s="232">
        <v>0.01</v>
      </c>
      <c r="G12" s="82">
        <v>64000</v>
      </c>
      <c r="I12" s="232">
        <v>0.03</v>
      </c>
      <c r="L12" s="292">
        <f t="shared" si="0"/>
        <v>0.008726808548792693</v>
      </c>
    </row>
    <row r="13" spans="1:12" ht="23.25" customHeight="1">
      <c r="A13" s="70" t="s">
        <v>353</v>
      </c>
      <c r="C13" s="82">
        <f>กระดาษทำการงบทดลองเครื่อง!R173</f>
        <v>25992.06</v>
      </c>
      <c r="E13" s="232">
        <v>0.01</v>
      </c>
      <c r="G13" s="82">
        <v>1631.78</v>
      </c>
      <c r="I13" s="232">
        <v>0</v>
      </c>
      <c r="L13" s="292">
        <f t="shared" si="0"/>
        <v>0.01111900644160454</v>
      </c>
    </row>
    <row r="14" spans="1:12" ht="23.25" customHeight="1">
      <c r="A14" s="70" t="s">
        <v>388</v>
      </c>
      <c r="C14" s="82">
        <f>กระดาษทำการงบทดลองเครื่อง!R170</f>
        <v>14485.99</v>
      </c>
      <c r="E14" s="232">
        <v>0.01</v>
      </c>
      <c r="G14" s="82">
        <v>10747.67</v>
      </c>
      <c r="I14" s="232">
        <v>0.01</v>
      </c>
      <c r="L14" s="292">
        <f t="shared" si="0"/>
        <v>0.006196885361261051</v>
      </c>
    </row>
    <row r="15" spans="1:12" ht="23.25" customHeight="1">
      <c r="A15" s="70" t="s">
        <v>354</v>
      </c>
      <c r="C15" s="82">
        <f>กระดาษทำการงบทดลองเครื่อง!R174</f>
        <v>57100</v>
      </c>
      <c r="E15" s="232">
        <v>0.02</v>
      </c>
      <c r="G15" s="82">
        <v>35000</v>
      </c>
      <c r="I15" s="232">
        <v>0.02</v>
      </c>
      <c r="L15" s="292">
        <f t="shared" si="0"/>
        <v>0.024426508241963858</v>
      </c>
    </row>
    <row r="16" spans="1:12" ht="23.25" customHeight="1">
      <c r="A16" s="70" t="s">
        <v>41</v>
      </c>
      <c r="C16" s="82">
        <f>กระดาษทำการงบทดลองเครื่อง!R169</f>
        <v>64298.03999999999</v>
      </c>
      <c r="E16" s="232">
        <v>0.03</v>
      </c>
      <c r="G16" s="82">
        <v>15954.46</v>
      </c>
      <c r="I16" s="232">
        <v>0.01</v>
      </c>
      <c r="L16" s="292">
        <f t="shared" si="0"/>
        <v>0.02750571985993208</v>
      </c>
    </row>
    <row r="17" spans="1:14" ht="23.25" customHeight="1">
      <c r="A17" s="70" t="s">
        <v>279</v>
      </c>
      <c r="C17" s="82">
        <f>กระดาษทำการงบทดลองเครื่อง!R175</f>
        <v>61323.69</v>
      </c>
      <c r="E17" s="232">
        <v>0.03</v>
      </c>
      <c r="G17" s="82">
        <v>328.01</v>
      </c>
      <c r="I17" s="232">
        <v>0</v>
      </c>
      <c r="L17" s="292">
        <f t="shared" si="0"/>
        <v>0.026233338339976126</v>
      </c>
      <c r="N17" s="70">
        <v>0.77</v>
      </c>
    </row>
    <row r="18" spans="1:12" ht="23.25" customHeight="1">
      <c r="A18" s="70" t="s">
        <v>802</v>
      </c>
      <c r="C18" s="82">
        <f>กระดาษทำการงบทดลองเครื่อง!R177</f>
        <v>28028</v>
      </c>
      <c r="E18" s="232">
        <v>0.01</v>
      </c>
      <c r="G18" s="82">
        <v>0</v>
      </c>
      <c r="I18" s="232">
        <v>0</v>
      </c>
      <c r="L18" s="292">
        <f>(C18*$L$21)/$C$21</f>
        <v>0.011989950490468705</v>
      </c>
    </row>
    <row r="19" spans="1:12" ht="23.25" customHeight="1">
      <c r="A19" s="70" t="s">
        <v>345</v>
      </c>
      <c r="C19" s="82">
        <v>0</v>
      </c>
      <c r="E19" s="232">
        <v>0</v>
      </c>
      <c r="G19" s="82">
        <v>29775</v>
      </c>
      <c r="I19" s="232">
        <v>0.02</v>
      </c>
      <c r="L19" s="292">
        <f t="shared" si="0"/>
        <v>0</v>
      </c>
    </row>
    <row r="20" spans="1:12" ht="23.25" customHeight="1">
      <c r="A20" s="70" t="s">
        <v>292</v>
      </c>
      <c r="C20" s="82">
        <v>0</v>
      </c>
      <c r="E20" s="232">
        <v>0</v>
      </c>
      <c r="G20" s="82">
        <v>11735.61</v>
      </c>
      <c r="I20" s="232">
        <v>0.01</v>
      </c>
      <c r="L20" s="292">
        <f t="shared" si="0"/>
        <v>0</v>
      </c>
    </row>
    <row r="21" spans="1:12" ht="23.25" customHeight="1" thickBot="1">
      <c r="A21" s="294"/>
      <c r="C21" s="120">
        <f>SUM(C8:C20)</f>
        <v>1726150.99</v>
      </c>
      <c r="E21" s="246">
        <v>0.74</v>
      </c>
      <c r="F21" s="295"/>
      <c r="G21" s="120">
        <f>SUM(G8:G20)</f>
        <v>964434.7300000001</v>
      </c>
      <c r="I21" s="246">
        <f>SUM(I8:I20)</f>
        <v>0.4900000000000001</v>
      </c>
      <c r="L21" s="292">
        <f>กำไรขาดทุน!G14</f>
        <v>0.7384210400019102</v>
      </c>
    </row>
    <row r="22" ht="21.75" thickTop="1"/>
  </sheetData>
  <sheetProtection/>
  <mergeCells count="3">
    <mergeCell ref="G5:I5"/>
    <mergeCell ref="A3:I3"/>
    <mergeCell ref="C5:E5"/>
  </mergeCells>
  <printOptions horizontalCentered="1"/>
  <pageMargins left="0.7874015748031497" right="0.35433070866141736" top="0.7874015748031497" bottom="0.7874015748031497" header="0" footer="0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N50"/>
  <sheetViews>
    <sheetView zoomScaleSheetLayoutView="100" zoomScalePageLayoutView="0" workbookViewId="0" topLeftCell="A1">
      <selection activeCell="A16" sqref="A16"/>
    </sheetView>
  </sheetViews>
  <sheetFormatPr defaultColWidth="9.140625" defaultRowHeight="21.75"/>
  <cols>
    <col min="1" max="1" width="43.421875" style="70" customWidth="1"/>
    <col min="2" max="2" width="16.140625" style="109" bestFit="1" customWidth="1"/>
    <col min="3" max="3" width="2.7109375" style="70" customWidth="1"/>
    <col min="4" max="4" width="8.7109375" style="232" bestFit="1" customWidth="1"/>
    <col min="5" max="5" width="2.7109375" style="70" customWidth="1"/>
    <col min="6" max="6" width="15.421875" style="109" bestFit="1" customWidth="1"/>
    <col min="7" max="7" width="2.7109375" style="70" customWidth="1"/>
    <col min="8" max="8" width="7.7109375" style="232" bestFit="1" customWidth="1"/>
    <col min="9" max="9" width="2.7109375" style="70" customWidth="1"/>
    <col min="10" max="10" width="9.140625" style="298" customWidth="1"/>
    <col min="11" max="11" width="3.28125" style="70" customWidth="1"/>
    <col min="12" max="12" width="12.8515625" style="70" customWidth="1"/>
    <col min="13" max="13" width="11.28125" style="70" bestFit="1" customWidth="1"/>
    <col min="14" max="14" width="11.8515625" style="70" customWidth="1"/>
    <col min="15" max="16384" width="9.140625" style="70" customWidth="1"/>
  </cols>
  <sheetData>
    <row r="1" spans="6:8" ht="21">
      <c r="F1" s="144"/>
      <c r="G1" s="144"/>
      <c r="H1" s="297" t="s">
        <v>934</v>
      </c>
    </row>
    <row r="2" spans="7:8" ht="12" customHeight="1">
      <c r="G2" s="72"/>
      <c r="H2" s="290"/>
    </row>
    <row r="3" spans="1:8" ht="23.25" customHeight="1">
      <c r="A3" s="329" t="s">
        <v>109</v>
      </c>
      <c r="B3" s="329"/>
      <c r="C3" s="329"/>
      <c r="D3" s="329"/>
      <c r="E3" s="329"/>
      <c r="F3" s="329"/>
      <c r="G3" s="329"/>
      <c r="H3" s="329"/>
    </row>
    <row r="4" spans="1:7" ht="12" customHeight="1">
      <c r="A4" s="80"/>
      <c r="B4" s="110"/>
      <c r="C4" s="80"/>
      <c r="D4" s="110"/>
      <c r="G4" s="72"/>
    </row>
    <row r="5" spans="2:8" ht="23.25" customHeight="1">
      <c r="B5" s="329" t="s">
        <v>730</v>
      </c>
      <c r="C5" s="329"/>
      <c r="D5" s="329"/>
      <c r="F5" s="329" t="s">
        <v>444</v>
      </c>
      <c r="G5" s="329"/>
      <c r="H5" s="329"/>
    </row>
    <row r="6" spans="2:8" ht="23.25" customHeight="1">
      <c r="B6" s="110" t="s">
        <v>9</v>
      </c>
      <c r="C6" s="68"/>
      <c r="D6" s="110" t="s">
        <v>32</v>
      </c>
      <c r="F6" s="110" t="s">
        <v>9</v>
      </c>
      <c r="G6" s="72"/>
      <c r="H6" s="110" t="s">
        <v>32</v>
      </c>
    </row>
    <row r="7" spans="1:10" ht="23.25" customHeight="1">
      <c r="A7" s="70" t="s">
        <v>171</v>
      </c>
      <c r="B7" s="83">
        <f>กระดาษทำการงบทดลองเครื่อง!Q222</f>
        <v>2505960</v>
      </c>
      <c r="C7" s="128"/>
      <c r="D7" s="285">
        <f>+B7*100/กำไรขาดทุน!E7</f>
        <v>1.072011428967281</v>
      </c>
      <c r="E7" s="109"/>
      <c r="F7" s="82">
        <v>2377248</v>
      </c>
      <c r="G7" s="119"/>
      <c r="H7" s="285">
        <v>1.2</v>
      </c>
      <c r="J7" s="298">
        <f aca="true" t="shared" si="0" ref="J7:J47">(B7*$D$47)/$B$47</f>
        <v>1.071931244412156</v>
      </c>
    </row>
    <row r="8" spans="1:10" ht="23.25" customHeight="1">
      <c r="A8" s="70" t="s">
        <v>172</v>
      </c>
      <c r="B8" s="83">
        <f>กระดาษทำการงบทดลองเครื่อง!Q238</f>
        <v>1476882</v>
      </c>
      <c r="C8" s="128"/>
      <c r="D8" s="285">
        <f>+B8*100/กำไรขาดทุน!E7</f>
        <v>0.6317875717234338</v>
      </c>
      <c r="E8" s="109"/>
      <c r="F8" s="82">
        <v>1446699</v>
      </c>
      <c r="G8" s="119"/>
      <c r="H8" s="285">
        <v>0.73</v>
      </c>
      <c r="J8" s="298">
        <f t="shared" si="0"/>
        <v>0.6317403151326891</v>
      </c>
    </row>
    <row r="9" spans="1:10" ht="23.25" customHeight="1">
      <c r="A9" s="70" t="s">
        <v>61</v>
      </c>
      <c r="B9" s="83">
        <f>กระดาษทำการงบทดลองเครื่อง!Q225</f>
        <v>103500</v>
      </c>
      <c r="C9" s="128"/>
      <c r="D9" s="285">
        <f>+B9*100/กำไรขาดทุน!E7</f>
        <v>0.0442757198431394</v>
      </c>
      <c r="E9" s="109"/>
      <c r="F9" s="82">
        <v>108500</v>
      </c>
      <c r="G9" s="119"/>
      <c r="H9" s="285">
        <v>0.05</v>
      </c>
      <c r="J9" s="298">
        <f t="shared" si="0"/>
        <v>0.044272408097758204</v>
      </c>
    </row>
    <row r="10" spans="1:10" ht="23.25" customHeight="1">
      <c r="A10" s="70" t="s">
        <v>173</v>
      </c>
      <c r="B10" s="83">
        <f>กระดาษทำการงบทดลองเครื่อง!Q223+กระดาษทำการงบทดลองเครื่อง!Q224</f>
        <v>137800</v>
      </c>
      <c r="C10" s="128"/>
      <c r="D10" s="285">
        <f>+B10*100/กำไรขาดทุน!E7</f>
        <v>0.058948736177629066</v>
      </c>
      <c r="E10" s="109"/>
      <c r="F10" s="82">
        <v>99650</v>
      </c>
      <c r="G10" s="119"/>
      <c r="H10" s="285">
        <v>0.05</v>
      </c>
      <c r="J10" s="298">
        <f t="shared" si="0"/>
        <v>0.05894432691662879</v>
      </c>
    </row>
    <row r="11" spans="1:10" ht="23.25" customHeight="1">
      <c r="A11" s="70" t="s">
        <v>178</v>
      </c>
      <c r="B11" s="83">
        <f>กระดาษทำการงบทดลองเครื่อง!Q256</f>
        <v>78129.05</v>
      </c>
      <c r="C11" s="128"/>
      <c r="D11" s="285">
        <f>+B11*100/กำไรขาดทุน!E7</f>
        <v>0.0334224147769143</v>
      </c>
      <c r="E11" s="109"/>
      <c r="F11" s="82">
        <v>66367.18</v>
      </c>
      <c r="G11" s="119"/>
      <c r="H11" s="285">
        <v>0.03</v>
      </c>
      <c r="J11" s="298">
        <f t="shared" si="0"/>
        <v>0.03341991483951841</v>
      </c>
    </row>
    <row r="12" spans="1:10" ht="23.25" customHeight="1">
      <c r="A12" s="70" t="s">
        <v>110</v>
      </c>
      <c r="B12" s="83">
        <f>กระดาษทำการงบทดลองเครื่อง!Q226</f>
        <v>533630</v>
      </c>
      <c r="C12" s="128"/>
      <c r="D12" s="285">
        <f>+B12*100/กำไรขาดทุน!E7</f>
        <v>0.22827876695550217</v>
      </c>
      <c r="E12" s="109"/>
      <c r="F12" s="82">
        <v>418970</v>
      </c>
      <c r="G12" s="119"/>
      <c r="H12" s="285">
        <v>0.21</v>
      </c>
      <c r="J12" s="298">
        <f t="shared" si="0"/>
        <v>0.22826169210827738</v>
      </c>
    </row>
    <row r="13" spans="1:10" ht="23.25" customHeight="1">
      <c r="A13" s="70" t="s">
        <v>43</v>
      </c>
      <c r="B13" s="83">
        <f>กระดาษทำการงบทดลองเครื่อง!Q227</f>
        <v>47557.15</v>
      </c>
      <c r="C13" s="128"/>
      <c r="D13" s="285">
        <f>+B13*100/กำไรขาดทุน!E7</f>
        <v>0.02034422270471649</v>
      </c>
      <c r="E13" s="109"/>
      <c r="F13" s="82">
        <v>62301.51</v>
      </c>
      <c r="G13" s="119"/>
      <c r="H13" s="285">
        <v>0.03</v>
      </c>
      <c r="J13" s="298">
        <f t="shared" si="0"/>
        <v>0.020342700992911127</v>
      </c>
    </row>
    <row r="14" spans="1:10" ht="23.25" customHeight="1">
      <c r="A14" s="70" t="s">
        <v>381</v>
      </c>
      <c r="B14" s="83">
        <f>กระดาษทำการงบทดลองเครื่อง!Q245</f>
        <v>12874</v>
      </c>
      <c r="C14" s="128"/>
      <c r="D14" s="285">
        <f>+B14*100/กำไรขาดทุน!E7</f>
        <v>0.005507300649860643</v>
      </c>
      <c r="E14" s="109"/>
      <c r="F14" s="82">
        <v>11233</v>
      </c>
      <c r="G14" s="119"/>
      <c r="H14" s="285">
        <v>0.01</v>
      </c>
      <c r="J14" s="298">
        <f t="shared" si="0"/>
        <v>0.0055068887135317785</v>
      </c>
    </row>
    <row r="15" spans="1:10" ht="23.25" customHeight="1">
      <c r="A15" s="70" t="s">
        <v>382</v>
      </c>
      <c r="B15" s="83">
        <f>กระดาษทำการงบทดลองเครื่อง!Q257</f>
        <v>22486.05</v>
      </c>
      <c r="C15" s="128"/>
      <c r="D15" s="285">
        <f>+B15*100/กำไรขาดทุน!E7</f>
        <v>0.009619188890616663</v>
      </c>
      <c r="E15" s="109"/>
      <c r="F15" s="82">
        <v>7490</v>
      </c>
      <c r="G15" s="119"/>
      <c r="H15" s="285">
        <v>0</v>
      </c>
      <c r="J15" s="298">
        <f t="shared" si="0"/>
        <v>0.009618469392334258</v>
      </c>
    </row>
    <row r="16" spans="1:10" ht="23.25" customHeight="1">
      <c r="A16" s="70" t="s">
        <v>383</v>
      </c>
      <c r="B16" s="83">
        <f>กระดาษทำการงบทดลองเครื่อง!Q246</f>
        <v>218067</v>
      </c>
      <c r="C16" s="128"/>
      <c r="D16" s="285">
        <f>+B16*100/กำไรขาดทุน!E7</f>
        <v>0.09328573332399882</v>
      </c>
      <c r="E16" s="109"/>
      <c r="F16" s="82">
        <v>189130.4</v>
      </c>
      <c r="G16" s="119"/>
      <c r="H16" s="285">
        <v>0.1</v>
      </c>
      <c r="J16" s="298">
        <f t="shared" si="0"/>
        <v>0.09327875571646221</v>
      </c>
    </row>
    <row r="17" spans="1:10" ht="23.25" customHeight="1">
      <c r="A17" s="70" t="s">
        <v>42</v>
      </c>
      <c r="B17" s="83">
        <f>กระดาษทำการงบทดลองเครื่อง!Q236</f>
        <v>208585</v>
      </c>
      <c r="C17" s="128"/>
      <c r="D17" s="285">
        <f>+B17*100/กำไรขาดทุน!E7</f>
        <v>0.08922947848774136</v>
      </c>
      <c r="E17" s="109"/>
      <c r="F17" s="82">
        <v>148740</v>
      </c>
      <c r="G17" s="119"/>
      <c r="H17" s="285">
        <v>0.07</v>
      </c>
      <c r="J17" s="298">
        <f t="shared" si="0"/>
        <v>0.08922280428087821</v>
      </c>
    </row>
    <row r="18" spans="1:10" ht="23.25" customHeight="1">
      <c r="A18" s="70" t="s">
        <v>123</v>
      </c>
      <c r="B18" s="83">
        <f>กระดาษทำการงบทดลองเครื่อง!Q251</f>
        <v>602666.15</v>
      </c>
      <c r="C18" s="128"/>
      <c r="D18" s="285">
        <f>+B18*100/กำไรขาดทุน!E7</f>
        <v>0.25781137793568526</v>
      </c>
      <c r="E18" s="109"/>
      <c r="F18" s="82">
        <v>643287.02</v>
      </c>
      <c r="G18" s="119"/>
      <c r="H18" s="285">
        <v>0.32</v>
      </c>
      <c r="J18" s="298">
        <f t="shared" si="0"/>
        <v>0.2577920941014953</v>
      </c>
    </row>
    <row r="19" spans="1:10" ht="23.25" customHeight="1">
      <c r="A19" s="70" t="s">
        <v>440</v>
      </c>
      <c r="B19" s="83">
        <f>กระดาษทำการงบทดลองเครื่อง!Q232</f>
        <v>343677.32</v>
      </c>
      <c r="C19" s="128"/>
      <c r="D19" s="285">
        <f>+B19*100/กำไรขาดทุน!E7</f>
        <v>0.14701991050010596</v>
      </c>
      <c r="E19" s="109"/>
      <c r="F19" s="82">
        <v>283367.84</v>
      </c>
      <c r="G19" s="119"/>
      <c r="H19" s="285">
        <v>0.14</v>
      </c>
      <c r="J19" s="298">
        <f t="shared" si="0"/>
        <v>0.14700891367134142</v>
      </c>
    </row>
    <row r="20" spans="1:10" ht="23.25" customHeight="1">
      <c r="A20" s="70" t="s">
        <v>441</v>
      </c>
      <c r="B20" s="83">
        <f>กระดาษทำการงบทดลองเครื่อง!Q239</f>
        <v>2151</v>
      </c>
      <c r="C20" s="128"/>
      <c r="D20" s="285">
        <f>+B20*100/กำไรขาดทุน!E7</f>
        <v>0.0009201649602182882</v>
      </c>
      <c r="E20" s="109"/>
      <c r="F20" s="82">
        <v>4721.02</v>
      </c>
      <c r="G20" s="119"/>
      <c r="H20" s="285">
        <v>0</v>
      </c>
      <c r="J20" s="298">
        <f t="shared" si="0"/>
        <v>0.0009200961335099313</v>
      </c>
    </row>
    <row r="21" spans="1:10" ht="23.25" customHeight="1">
      <c r="A21" s="70" t="s">
        <v>384</v>
      </c>
      <c r="B21" s="83">
        <f>กระดาษทำการงบทดลองเครื่อง!Q255</f>
        <v>6169.48</v>
      </c>
      <c r="C21" s="128"/>
      <c r="D21" s="285">
        <f>+B21*100/กำไรขาดทุน!E7</f>
        <v>0.002639209353215958</v>
      </c>
      <c r="E21" s="109"/>
      <c r="F21" s="82">
        <v>5305.29</v>
      </c>
      <c r="G21" s="119"/>
      <c r="H21" s="285">
        <v>0</v>
      </c>
      <c r="J21" s="298">
        <f t="shared" si="0"/>
        <v>0.0026390119450334037</v>
      </c>
    </row>
    <row r="22" spans="1:10" ht="23.25" customHeight="1">
      <c r="A22" s="70" t="s">
        <v>101</v>
      </c>
      <c r="B22" s="83">
        <f>กระดาษทำการงบทดลองเครื่อง!Q228</f>
        <v>3969122.45</v>
      </c>
      <c r="C22" s="128"/>
      <c r="D22" s="285">
        <v>1.7</v>
      </c>
      <c r="E22" s="109"/>
      <c r="F22" s="82">
        <v>3525847.8</v>
      </c>
      <c r="G22" s="119"/>
      <c r="H22" s="285">
        <v>1.78</v>
      </c>
      <c r="J22" s="298">
        <f t="shared" si="0"/>
        <v>1.697802984506028</v>
      </c>
    </row>
    <row r="23" spans="1:10" ht="23.25" customHeight="1">
      <c r="A23" s="70" t="s">
        <v>176</v>
      </c>
      <c r="B23" s="83">
        <f>กระดาษทำการงบทดลองเครื่อง!Q241</f>
        <v>127159.15</v>
      </c>
      <c r="C23" s="128"/>
      <c r="D23" s="285">
        <f>+B23*100/กำไรขาดทุน!E7</f>
        <v>0.054396743003784914</v>
      </c>
      <c r="E23" s="109"/>
      <c r="F23" s="82">
        <v>116245.6</v>
      </c>
      <c r="G23" s="119"/>
      <c r="H23" s="285">
        <v>0.06</v>
      </c>
      <c r="J23" s="298">
        <f t="shared" si="0"/>
        <v>0.054392674223807246</v>
      </c>
    </row>
    <row r="24" spans="1:10" ht="23.25" customHeight="1">
      <c r="A24" s="70" t="s">
        <v>111</v>
      </c>
      <c r="B24" s="83">
        <f>กระดาษทำการงบทดลองเครื่อง!Q243</f>
        <v>224855</v>
      </c>
      <c r="C24" s="128"/>
      <c r="D24" s="285">
        <f>+B24*100/กำไรขาดทุน!E7</f>
        <v>0.09618953609013631</v>
      </c>
      <c r="E24" s="109"/>
      <c r="F24" s="82">
        <v>212502</v>
      </c>
      <c r="G24" s="119"/>
      <c r="H24" s="285">
        <v>0.11</v>
      </c>
      <c r="J24" s="298">
        <f t="shared" si="0"/>
        <v>0.09618234128329875</v>
      </c>
    </row>
    <row r="25" spans="1:10" ht="23.25" customHeight="1">
      <c r="A25" s="70" t="s">
        <v>62</v>
      </c>
      <c r="B25" s="83">
        <f>กระดาษทำการงบทดลองเครื่อง!Q231</f>
        <v>70147</v>
      </c>
      <c r="C25" s="128"/>
      <c r="D25" s="285">
        <f>+B25*100/กำไรขาดทุน!E7</f>
        <v>0.030007815650596126</v>
      </c>
      <c r="E25" s="109"/>
      <c r="F25" s="82">
        <v>31777.75</v>
      </c>
      <c r="G25" s="119"/>
      <c r="H25" s="285">
        <v>0.02</v>
      </c>
      <c r="J25" s="298">
        <f t="shared" si="0"/>
        <v>0.030005571119163715</v>
      </c>
    </row>
    <row r="26" spans="1:10" ht="23.25" customHeight="1">
      <c r="A26" s="70" t="s">
        <v>122</v>
      </c>
      <c r="B26" s="83">
        <v>6000</v>
      </c>
      <c r="C26" s="128"/>
      <c r="D26" s="285">
        <f>+B26*100/กำไรขาดทุน!E7</f>
        <v>0.002566708396703733</v>
      </c>
      <c r="E26" s="109"/>
      <c r="F26" s="82">
        <v>12000</v>
      </c>
      <c r="G26" s="119"/>
      <c r="H26" s="285">
        <v>0.01</v>
      </c>
      <c r="J26" s="298">
        <f t="shared" si="0"/>
        <v>0.0025665164114642433</v>
      </c>
    </row>
    <row r="27" spans="1:10" ht="23.25" customHeight="1">
      <c r="A27" s="70" t="s">
        <v>320</v>
      </c>
      <c r="B27" s="83">
        <f>กระดาษทำการงบทดลองเครื่อง!Q234</f>
        <v>0</v>
      </c>
      <c r="C27" s="128"/>
      <c r="D27" s="285">
        <f>+B27*100/กำไรขาดทุน!E7</f>
        <v>0</v>
      </c>
      <c r="E27" s="109"/>
      <c r="F27" s="82">
        <v>0</v>
      </c>
      <c r="G27" s="119"/>
      <c r="H27" s="285">
        <v>0</v>
      </c>
      <c r="J27" s="298">
        <f t="shared" si="0"/>
        <v>0</v>
      </c>
    </row>
    <row r="28" spans="1:10" ht="23.25" customHeight="1">
      <c r="A28" s="70" t="s">
        <v>325</v>
      </c>
      <c r="B28" s="83">
        <f>กระดาษทำการงบทดลองเครื่อง!Q253</f>
        <v>259955</v>
      </c>
      <c r="C28" s="128"/>
      <c r="D28" s="285">
        <f>+B28*100/กำไรขาดทุน!E7</f>
        <v>0.11120478021085316</v>
      </c>
      <c r="E28" s="109"/>
      <c r="F28" s="82">
        <v>258770</v>
      </c>
      <c r="G28" s="119"/>
      <c r="H28" s="285">
        <v>0.13</v>
      </c>
      <c r="J28" s="298">
        <f t="shared" si="0"/>
        <v>0.11119646229036458</v>
      </c>
    </row>
    <row r="29" spans="1:10" ht="23.25" customHeight="1">
      <c r="A29" s="134" t="s">
        <v>112</v>
      </c>
      <c r="B29" s="83">
        <f>กระดาษทำการงบทดลองเครื่อง!Q240</f>
        <v>4200</v>
      </c>
      <c r="C29" s="128"/>
      <c r="D29" s="285">
        <f>+B29*100/กำไรขาดทุน!E7</f>
        <v>0.001796695877692613</v>
      </c>
      <c r="E29" s="109"/>
      <c r="F29" s="83">
        <v>11000</v>
      </c>
      <c r="G29" s="119"/>
      <c r="H29" s="285">
        <v>0.01</v>
      </c>
      <c r="J29" s="298">
        <f t="shared" si="0"/>
        <v>0.0017965614880249704</v>
      </c>
    </row>
    <row r="30" spans="1:10" ht="23.25" customHeight="1">
      <c r="A30" s="134" t="s">
        <v>385</v>
      </c>
      <c r="B30" s="83">
        <f>กระดาษทำการงบทดลองเครื่อง!Q242</f>
        <v>36788.14</v>
      </c>
      <c r="C30" s="128"/>
      <c r="D30" s="285">
        <f>+B30*100/กำไรขาดทุน!E7</f>
        <v>0.015737404639518743</v>
      </c>
      <c r="E30" s="109"/>
      <c r="F30" s="83">
        <v>41933.79</v>
      </c>
      <c r="G30" s="119"/>
      <c r="H30" s="285">
        <v>0.02</v>
      </c>
      <c r="J30" s="298">
        <f t="shared" si="0"/>
        <v>0.0157362275095407</v>
      </c>
    </row>
    <row r="31" spans="1:10" ht="23.25" customHeight="1">
      <c r="A31" s="70" t="s">
        <v>177</v>
      </c>
      <c r="B31" s="83">
        <f>กระดาษทำการงบทดลองเครื่อง!Q237</f>
        <v>38169.5</v>
      </c>
      <c r="C31" s="128"/>
      <c r="D31" s="285">
        <f>+B31*100/กำไรขาดทุน!E7</f>
        <v>0.01632832935799719</v>
      </c>
      <c r="E31" s="109"/>
      <c r="F31" s="82">
        <v>42134</v>
      </c>
      <c r="G31" s="119"/>
      <c r="H31" s="285">
        <v>0.02</v>
      </c>
      <c r="J31" s="298">
        <f t="shared" si="0"/>
        <v>0.016327108027897407</v>
      </c>
    </row>
    <row r="32" spans="1:10" ht="23.25" customHeight="1">
      <c r="A32" s="70" t="s">
        <v>174</v>
      </c>
      <c r="B32" s="83">
        <f>กระดาษทำการงบทดลองเครื่อง!Q235</f>
        <v>51745</v>
      </c>
      <c r="C32" s="128"/>
      <c r="D32" s="285">
        <f>+B32*100/กำไรขาดทุน!E7</f>
        <v>0.022135720997905776</v>
      </c>
      <c r="E32" s="109"/>
      <c r="F32" s="82">
        <v>70497</v>
      </c>
      <c r="G32" s="119"/>
      <c r="H32" s="285">
        <v>0.04</v>
      </c>
      <c r="J32" s="298">
        <f t="shared" si="0"/>
        <v>0.02213406528520288</v>
      </c>
    </row>
    <row r="33" spans="1:14" ht="23.25" customHeight="1">
      <c r="A33" s="70" t="s">
        <v>182</v>
      </c>
      <c r="B33" s="83">
        <f>กระดาษทำการงบทดลองเครื่อง!Q252</f>
        <v>49300</v>
      </c>
      <c r="C33" s="128"/>
      <c r="D33" s="285">
        <f>+B33*100/กำไรขาดทุน!E7</f>
        <v>0.021089787326249006</v>
      </c>
      <c r="E33" s="109"/>
      <c r="F33" s="82">
        <v>31250</v>
      </c>
      <c r="G33" s="119"/>
      <c r="H33" s="285">
        <v>0.02</v>
      </c>
      <c r="J33" s="298">
        <f t="shared" si="0"/>
        <v>0.0210882098475312</v>
      </c>
      <c r="L33" s="299"/>
      <c r="M33" s="300"/>
      <c r="N33" s="299"/>
    </row>
    <row r="34" spans="1:10" ht="23.25" customHeight="1">
      <c r="A34" s="70" t="s">
        <v>336</v>
      </c>
      <c r="B34" s="83">
        <f>กระดาษทำการงบทดลองเครื่อง!Q258</f>
        <v>41433.03</v>
      </c>
      <c r="C34" s="128"/>
      <c r="D34" s="285">
        <f>+B34*100/กำไรขาดทุน!E7</f>
        <v>0.017724417666979613</v>
      </c>
      <c r="E34" s="109"/>
      <c r="F34" s="82">
        <v>40672.67</v>
      </c>
      <c r="G34" s="119"/>
      <c r="H34" s="285">
        <v>0.02</v>
      </c>
      <c r="J34" s="298">
        <f t="shared" si="0"/>
        <v>0.01772309191194839</v>
      </c>
    </row>
    <row r="35" spans="1:10" ht="23.25" customHeight="1">
      <c r="A35" s="70" t="s">
        <v>113</v>
      </c>
      <c r="B35" s="83">
        <f>กระดาษทำการงบทดลองเครื่อง!Q244</f>
        <v>26650</v>
      </c>
      <c r="C35" s="128"/>
      <c r="D35" s="285">
        <f>+B35*100/กำไรขาดทุน!E7</f>
        <v>0.011400463128692414</v>
      </c>
      <c r="E35" s="109"/>
      <c r="F35" s="82">
        <v>24227</v>
      </c>
      <c r="G35" s="119"/>
      <c r="H35" s="285">
        <v>0.01</v>
      </c>
      <c r="J35" s="298">
        <f t="shared" si="0"/>
        <v>0.011399610394253681</v>
      </c>
    </row>
    <row r="36" spans="1:10" ht="23.25" customHeight="1">
      <c r="A36" s="70" t="s">
        <v>386</v>
      </c>
      <c r="B36" s="83">
        <f>กระดาษทำการงบทดลองเครื่อง!Q229</f>
        <v>123932</v>
      </c>
      <c r="C36" s="128"/>
      <c r="D36" s="285">
        <f>+B36*100/กำไรขาดทุน!E7</f>
        <v>0.053016217503381174</v>
      </c>
      <c r="E36" s="109"/>
      <c r="F36" s="82">
        <v>91406.18</v>
      </c>
      <c r="G36" s="119"/>
      <c r="H36" s="285">
        <v>0.05</v>
      </c>
      <c r="J36" s="298">
        <f t="shared" si="0"/>
        <v>0.05301225198426444</v>
      </c>
    </row>
    <row r="37" spans="1:10" ht="23.25" customHeight="1">
      <c r="A37" s="70" t="s">
        <v>431</v>
      </c>
      <c r="B37" s="83">
        <f>กระดาษทำการงบทดลองเครื่อง!Q230</f>
        <v>35842.31</v>
      </c>
      <c r="C37" s="128"/>
      <c r="D37" s="285">
        <f>+B37*100/กำไรขาดทุน!E7</f>
        <v>0.015332793005709696</v>
      </c>
      <c r="E37" s="109"/>
      <c r="F37" s="82">
        <v>37462.45</v>
      </c>
      <c r="G37" s="119"/>
      <c r="H37" s="285">
        <v>0.02</v>
      </c>
      <c r="J37" s="298">
        <f t="shared" si="0"/>
        <v>0.015331646139964827</v>
      </c>
    </row>
    <row r="38" spans="1:10" ht="23.25" customHeight="1">
      <c r="A38" s="70" t="s">
        <v>434</v>
      </c>
      <c r="B38" s="83">
        <v>0</v>
      </c>
      <c r="C38" s="128"/>
      <c r="D38" s="285">
        <v>0</v>
      </c>
      <c r="E38" s="109"/>
      <c r="F38" s="82">
        <v>10200</v>
      </c>
      <c r="G38" s="119"/>
      <c r="H38" s="285">
        <v>0</v>
      </c>
      <c r="J38" s="298">
        <f t="shared" si="0"/>
        <v>0</v>
      </c>
    </row>
    <row r="39" spans="1:10" ht="23.25" customHeight="1">
      <c r="A39" s="70" t="s">
        <v>433</v>
      </c>
      <c r="B39" s="83">
        <f>กระดาษทำการงบทดลองเครื่อง!Q254</f>
        <v>3500</v>
      </c>
      <c r="C39" s="128"/>
      <c r="D39" s="285">
        <f>+B39*100/กำไรขาดทุน!E7</f>
        <v>0.0014972465647438442</v>
      </c>
      <c r="E39" s="109"/>
      <c r="F39" s="82">
        <v>5880</v>
      </c>
      <c r="G39" s="119"/>
      <c r="H39" s="285">
        <v>0</v>
      </c>
      <c r="J39" s="298">
        <f t="shared" si="0"/>
        <v>0.0014971345733541422</v>
      </c>
    </row>
    <row r="40" spans="1:10" ht="23.25" customHeight="1">
      <c r="A40" s="70" t="s">
        <v>409</v>
      </c>
      <c r="B40" s="83">
        <f>กระดาษทำการงบทดลองเครื่อง!Q233</f>
        <v>128629.25</v>
      </c>
      <c r="C40" s="128"/>
      <c r="D40" s="285">
        <f>+B40*100/กำไรขาดทุน!E7</f>
        <v>0.055025629339450606</v>
      </c>
      <c r="E40" s="109"/>
      <c r="F40" s="82">
        <v>101539.27</v>
      </c>
      <c r="G40" s="119"/>
      <c r="H40" s="285">
        <v>0.05</v>
      </c>
      <c r="J40" s="298">
        <f t="shared" si="0"/>
        <v>0.05502151351988951</v>
      </c>
    </row>
    <row r="41" spans="1:10" ht="23.25" customHeight="1">
      <c r="A41" s="70" t="s">
        <v>659</v>
      </c>
      <c r="B41" s="83">
        <v>0</v>
      </c>
      <c r="C41" s="128"/>
      <c r="D41" s="285">
        <f>+B41*100/กำไรขาดทุน!E7</f>
        <v>0</v>
      </c>
      <c r="E41" s="109"/>
      <c r="F41" s="82">
        <v>24.92</v>
      </c>
      <c r="G41" s="119"/>
      <c r="H41" s="285">
        <v>0</v>
      </c>
      <c r="J41" s="298">
        <f t="shared" si="0"/>
        <v>0</v>
      </c>
    </row>
    <row r="42" spans="1:10" ht="23.25" customHeight="1">
      <c r="A42" s="70" t="s">
        <v>661</v>
      </c>
      <c r="B42" s="83">
        <f>กระดาษทำการงบทดลองเครื่อง!Q259</f>
        <v>5700</v>
      </c>
      <c r="C42" s="128"/>
      <c r="D42" s="285">
        <f>+B42*100/กำไรขาดทุน!E7</f>
        <v>0.0024383729768685464</v>
      </c>
      <c r="E42" s="109"/>
      <c r="F42" s="82">
        <v>1000</v>
      </c>
      <c r="G42" s="119"/>
      <c r="H42" s="285">
        <v>0</v>
      </c>
      <c r="J42" s="298">
        <f t="shared" si="0"/>
        <v>0.0024381905908910312</v>
      </c>
    </row>
    <row r="43" spans="1:10" ht="23.25" customHeight="1">
      <c r="A43" s="70" t="s">
        <v>812</v>
      </c>
      <c r="B43" s="83">
        <f>กระดาษทำการงบทดลองเครื่อง!Q247</f>
        <v>20500</v>
      </c>
      <c r="C43" s="128"/>
      <c r="D43" s="285">
        <f>+B43*100/กำไรขาดทุน!E8</f>
        <v>0.009689649232145402</v>
      </c>
      <c r="E43" s="109"/>
      <c r="F43" s="82">
        <v>0</v>
      </c>
      <c r="G43" s="119"/>
      <c r="H43" s="285">
        <v>0</v>
      </c>
      <c r="J43" s="298">
        <f t="shared" si="0"/>
        <v>0.008768931072502833</v>
      </c>
    </row>
    <row r="44" spans="1:10" ht="23.25" customHeight="1">
      <c r="A44" s="70" t="s">
        <v>345</v>
      </c>
      <c r="B44" s="83">
        <f>กระดาษทำการงบทดลองเครื่อง!Q249</f>
        <v>918283</v>
      </c>
      <c r="C44" s="128"/>
      <c r="D44" s="285">
        <v>0.39</v>
      </c>
      <c r="E44" s="109"/>
      <c r="F44" s="82">
        <v>0</v>
      </c>
      <c r="G44" s="119"/>
      <c r="H44" s="285">
        <v>0</v>
      </c>
      <c r="J44" s="298">
        <f t="shared" si="0"/>
        <v>0.3927980649781034</v>
      </c>
    </row>
    <row r="45" spans="1:10" ht="23.25" customHeight="1">
      <c r="A45" s="70" t="s">
        <v>817</v>
      </c>
      <c r="B45" s="83">
        <f>กระดาษทำการงบทดลองเครื่อง!Q250</f>
        <v>146673.39</v>
      </c>
      <c r="C45" s="128"/>
      <c r="D45" s="285">
        <v>0.06</v>
      </c>
      <c r="E45" s="109"/>
      <c r="F45" s="82">
        <v>0</v>
      </c>
      <c r="G45" s="119"/>
      <c r="H45" s="285">
        <v>0</v>
      </c>
      <c r="J45" s="298">
        <f t="shared" si="0"/>
        <v>0.06273994376001592</v>
      </c>
    </row>
    <row r="46" spans="1:10" ht="23.25" customHeight="1">
      <c r="A46" s="70" t="s">
        <v>840</v>
      </c>
      <c r="B46" s="83">
        <v>736736.99</v>
      </c>
      <c r="C46" s="128"/>
      <c r="D46" s="285">
        <v>0.32</v>
      </c>
      <c r="E46" s="109"/>
      <c r="F46" s="82">
        <v>0</v>
      </c>
      <c r="G46" s="119"/>
      <c r="H46" s="285">
        <v>0</v>
      </c>
      <c r="J46" s="298">
        <f t="shared" si="0"/>
        <v>0.3151412626279614</v>
      </c>
    </row>
    <row r="47" spans="1:10" ht="23.25" customHeight="1" thickBot="1">
      <c r="A47" s="68"/>
      <c r="B47" s="120">
        <f>SUM(B7:B46)</f>
        <v>13325455.410000004</v>
      </c>
      <c r="C47" s="301"/>
      <c r="D47" s="246">
        <v>5.7</v>
      </c>
      <c r="E47" s="301"/>
      <c r="F47" s="120">
        <f>SUM(F7:F46)</f>
        <v>10539380.689999996</v>
      </c>
      <c r="G47" s="301"/>
      <c r="H47" s="246">
        <v>5.31</v>
      </c>
      <c r="J47" s="298">
        <f t="shared" si="0"/>
        <v>5.7</v>
      </c>
    </row>
    <row r="48" spans="1:8" ht="21.75" thickTop="1">
      <c r="A48" s="68"/>
      <c r="B48" s="301"/>
      <c r="C48" s="301"/>
      <c r="D48" s="302"/>
      <c r="E48" s="301"/>
      <c r="F48" s="301"/>
      <c r="G48" s="301"/>
      <c r="H48" s="302"/>
    </row>
    <row r="49" spans="1:13" ht="21">
      <c r="A49" s="68"/>
      <c r="B49" s="301"/>
      <c r="C49" s="301"/>
      <c r="D49" s="302"/>
      <c r="E49" s="301"/>
      <c r="F49" s="301"/>
      <c r="G49" s="301"/>
      <c r="H49" s="302"/>
      <c r="M49" s="70">
        <v>0</v>
      </c>
    </row>
    <row r="50" spans="2:7" ht="21">
      <c r="B50" s="119"/>
      <c r="G50" s="72"/>
    </row>
  </sheetData>
  <sheetProtection/>
  <mergeCells count="3">
    <mergeCell ref="A3:H3"/>
    <mergeCell ref="B5:D5"/>
    <mergeCell ref="F5:H5"/>
  </mergeCells>
  <printOptions horizontalCentered="1"/>
  <pageMargins left="0.5118110236220472" right="0.35433070866141736" top="0.7874015748031497" bottom="0.7874015748031497" header="0" footer="0"/>
  <pageSetup blackAndWhite="1" horizontalDpi="600" verticalDpi="600" orientation="portrait" paperSize="9" scale="90" r:id="rId1"/>
  <rowBreaks count="1" manualBreakCount="1">
    <brk id="3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M59"/>
  <sheetViews>
    <sheetView zoomScaleSheetLayoutView="100" zoomScalePageLayoutView="0" workbookViewId="0" topLeftCell="A44">
      <selection activeCell="D38" sqref="D38"/>
    </sheetView>
  </sheetViews>
  <sheetFormatPr defaultColWidth="9.140625" defaultRowHeight="23.25" customHeight="1"/>
  <cols>
    <col min="1" max="1" width="5.140625" style="153" customWidth="1"/>
    <col min="2" max="3" width="5.7109375" style="153" customWidth="1"/>
    <col min="4" max="5" width="17.421875" style="153" customWidth="1"/>
    <col min="6" max="6" width="16.7109375" style="156" customWidth="1"/>
    <col min="7" max="7" width="3.7109375" style="153" customWidth="1"/>
    <col min="8" max="8" width="18.140625" style="156" customWidth="1"/>
    <col min="9" max="9" width="3.7109375" style="153" customWidth="1"/>
    <col min="10" max="10" width="18.28125" style="152" customWidth="1"/>
    <col min="11" max="11" width="9.140625" style="153" customWidth="1"/>
    <col min="12" max="12" width="16.57421875" style="153" customWidth="1"/>
    <col min="13" max="16384" width="9.140625" style="153" customWidth="1"/>
  </cols>
  <sheetData>
    <row r="1" spans="1:9" ht="23.25" customHeight="1">
      <c r="A1" s="326" t="s">
        <v>132</v>
      </c>
      <c r="B1" s="326"/>
      <c r="C1" s="326"/>
      <c r="D1" s="326"/>
      <c r="E1" s="326"/>
      <c r="F1" s="326"/>
      <c r="G1" s="326"/>
      <c r="H1" s="326"/>
      <c r="I1" s="151"/>
    </row>
    <row r="2" spans="1:9" ht="23.25" customHeight="1">
      <c r="A2" s="326" t="s">
        <v>100</v>
      </c>
      <c r="B2" s="326"/>
      <c r="C2" s="326"/>
      <c r="D2" s="326"/>
      <c r="E2" s="326"/>
      <c r="F2" s="326"/>
      <c r="G2" s="326"/>
      <c r="H2" s="326"/>
      <c r="I2" s="151"/>
    </row>
    <row r="3" spans="1:9" ht="23.25" customHeight="1">
      <c r="A3" s="326" t="s">
        <v>731</v>
      </c>
      <c r="B3" s="326"/>
      <c r="C3" s="326"/>
      <c r="D3" s="326"/>
      <c r="E3" s="326"/>
      <c r="F3" s="326"/>
      <c r="G3" s="326"/>
      <c r="H3" s="326"/>
      <c r="I3" s="151"/>
    </row>
    <row r="5" spans="6:8" ht="23.25" customHeight="1">
      <c r="F5" s="154" t="s">
        <v>730</v>
      </c>
      <c r="H5" s="154" t="s">
        <v>444</v>
      </c>
    </row>
    <row r="6" spans="6:8" ht="23.25" customHeight="1">
      <c r="F6" s="154" t="s">
        <v>9</v>
      </c>
      <c r="H6" s="154" t="s">
        <v>9</v>
      </c>
    </row>
    <row r="7" ht="23.25" customHeight="1">
      <c r="A7" s="155" t="s">
        <v>44</v>
      </c>
    </row>
    <row r="8" spans="2:8" ht="23.25" customHeight="1">
      <c r="B8" s="153" t="s">
        <v>98</v>
      </c>
      <c r="F8" s="176">
        <f>กระดาษทำการงบทดลองเครื่อง!O178</f>
        <v>5230325.62</v>
      </c>
      <c r="G8" s="175"/>
      <c r="H8" s="176">
        <v>5022207.49</v>
      </c>
    </row>
    <row r="9" spans="6:8" ht="23.25" customHeight="1">
      <c r="F9" s="175"/>
      <c r="G9" s="175"/>
      <c r="H9" s="175"/>
    </row>
    <row r="10" spans="1:10" ht="23.25" customHeight="1">
      <c r="A10" s="155" t="s">
        <v>45</v>
      </c>
      <c r="B10" s="155"/>
      <c r="C10" s="155"/>
      <c r="F10" s="175"/>
      <c r="G10" s="175"/>
      <c r="H10" s="175"/>
      <c r="J10" s="152">
        <f>F13+F14+F23+F24</f>
        <v>127314265.8</v>
      </c>
    </row>
    <row r="11" spans="1:8" ht="23.25" customHeight="1">
      <c r="A11" s="155" t="s">
        <v>71</v>
      </c>
      <c r="B11" s="155"/>
      <c r="C11" s="155"/>
      <c r="F11" s="175"/>
      <c r="G11" s="175"/>
      <c r="H11" s="175"/>
    </row>
    <row r="12" spans="2:10" ht="23.25" customHeight="1">
      <c r="B12" s="153" t="s">
        <v>46</v>
      </c>
      <c r="F12" s="174">
        <v>285355</v>
      </c>
      <c r="G12" s="175"/>
      <c r="H12" s="174">
        <v>420535</v>
      </c>
      <c r="J12" s="152">
        <f>839427.75+598043</f>
        <v>1437470.75</v>
      </c>
    </row>
    <row r="13" spans="1:8" ht="23.25" customHeight="1">
      <c r="A13" s="158" t="s">
        <v>75</v>
      </c>
      <c r="B13" s="153" t="s">
        <v>93</v>
      </c>
      <c r="F13" s="174">
        <v>3204290</v>
      </c>
      <c r="G13" s="175"/>
      <c r="H13" s="174">
        <v>1968975</v>
      </c>
    </row>
    <row r="14" spans="2:8" ht="23.25" customHeight="1">
      <c r="B14" s="153" t="s">
        <v>155</v>
      </c>
      <c r="F14" s="176">
        <v>64340</v>
      </c>
      <c r="G14" s="175"/>
      <c r="H14" s="176">
        <v>72900</v>
      </c>
    </row>
    <row r="15" spans="4:8" ht="23.25" customHeight="1">
      <c r="D15" s="153" t="s">
        <v>1</v>
      </c>
      <c r="F15" s="175">
        <f>SUM(F12:F14)</f>
        <v>3553985</v>
      </c>
      <c r="G15" s="175"/>
      <c r="H15" s="175">
        <f>SUM(H12:H14)</f>
        <v>2462410</v>
      </c>
    </row>
    <row r="16" spans="1:8" ht="23.25" customHeight="1" hidden="1">
      <c r="A16" s="158" t="s">
        <v>77</v>
      </c>
      <c r="B16" s="153" t="s">
        <v>368</v>
      </c>
      <c r="C16" s="155"/>
      <c r="D16" s="155"/>
      <c r="F16" s="177">
        <v>0</v>
      </c>
      <c r="G16" s="175"/>
      <c r="H16" s="175">
        <v>0</v>
      </c>
    </row>
    <row r="17" spans="1:8" ht="23.25" customHeight="1">
      <c r="A17" s="158" t="s">
        <v>77</v>
      </c>
      <c r="B17" s="153" t="s">
        <v>78</v>
      </c>
      <c r="F17" s="175"/>
      <c r="G17" s="175"/>
      <c r="H17" s="175"/>
    </row>
    <row r="18" spans="2:10" ht="23.25" customHeight="1">
      <c r="B18" s="161" t="s">
        <v>86</v>
      </c>
      <c r="C18" s="153" t="s">
        <v>99</v>
      </c>
      <c r="F18" s="82">
        <v>362875</v>
      </c>
      <c r="G18" s="111"/>
      <c r="H18" s="82">
        <v>285355</v>
      </c>
      <c r="J18" s="152">
        <f>1160562.75+446767</f>
        <v>1607329.75</v>
      </c>
    </row>
    <row r="19" spans="2:8" ht="23.25" customHeight="1">
      <c r="B19" s="161" t="s">
        <v>86</v>
      </c>
      <c r="C19" s="153" t="s">
        <v>853</v>
      </c>
      <c r="F19" s="82">
        <v>17940</v>
      </c>
      <c r="G19" s="111"/>
      <c r="H19" s="82">
        <v>0</v>
      </c>
    </row>
    <row r="20" spans="4:10" s="155" customFormat="1" ht="23.25" customHeight="1">
      <c r="D20" s="153" t="s">
        <v>47</v>
      </c>
      <c r="F20" s="303">
        <f>SUM(F15-F16-F18-F19)</f>
        <v>3173170</v>
      </c>
      <c r="G20" s="175"/>
      <c r="H20" s="303">
        <f>SUM(H15-H18)</f>
        <v>2177055</v>
      </c>
      <c r="J20" s="164"/>
    </row>
    <row r="21" spans="1:3" ht="23.25" customHeight="1">
      <c r="A21" s="155" t="s">
        <v>156</v>
      </c>
      <c r="B21" s="155"/>
      <c r="C21" s="155"/>
    </row>
    <row r="22" spans="2:10" ht="23.25" customHeight="1">
      <c r="B22" s="153" t="s">
        <v>46</v>
      </c>
      <c r="F22" s="174">
        <v>1013143.67</v>
      </c>
      <c r="G22" s="175"/>
      <c r="H22" s="174">
        <v>703684.99</v>
      </c>
      <c r="J22" s="152">
        <f>839427.75+598043</f>
        <v>1437470.75</v>
      </c>
    </row>
    <row r="23" spans="1:8" ht="23.25" customHeight="1">
      <c r="A23" s="158" t="s">
        <v>75</v>
      </c>
      <c r="B23" s="153" t="s">
        <v>157</v>
      </c>
      <c r="F23" s="174">
        <v>123805156.96</v>
      </c>
      <c r="G23" s="175"/>
      <c r="H23" s="174">
        <v>119556217.23</v>
      </c>
    </row>
    <row r="24" spans="2:8" ht="23.25" customHeight="1">
      <c r="B24" s="153" t="s">
        <v>121</v>
      </c>
      <c r="F24" s="228">
        <v>240478.84</v>
      </c>
      <c r="G24" s="175"/>
      <c r="H24" s="174">
        <v>245825.62</v>
      </c>
    </row>
    <row r="25" spans="2:8" ht="23.25" customHeight="1">
      <c r="B25" s="153" t="s">
        <v>158</v>
      </c>
      <c r="F25" s="176">
        <v>2015520</v>
      </c>
      <c r="G25" s="175"/>
      <c r="H25" s="176">
        <v>2164320</v>
      </c>
    </row>
    <row r="26" spans="4:8" ht="23.25" customHeight="1">
      <c r="D26" s="153" t="s">
        <v>1</v>
      </c>
      <c r="F26" s="304">
        <f>SUM(F22:F25)</f>
        <v>127074299.47</v>
      </c>
      <c r="G26" s="175"/>
      <c r="H26" s="304">
        <f>SUM(H22:H25)</f>
        <v>122670047.84</v>
      </c>
    </row>
    <row r="27" spans="1:8" ht="23.25" customHeight="1">
      <c r="A27" s="158" t="s">
        <v>77</v>
      </c>
      <c r="B27" s="153" t="s">
        <v>78</v>
      </c>
      <c r="F27" s="175"/>
      <c r="G27" s="175"/>
      <c r="H27" s="175"/>
    </row>
    <row r="28" spans="2:12" ht="23.25" customHeight="1">
      <c r="B28" s="161" t="s">
        <v>86</v>
      </c>
      <c r="C28" s="153" t="s">
        <v>99</v>
      </c>
      <c r="F28" s="82">
        <v>1419025.41</v>
      </c>
      <c r="G28" s="111"/>
      <c r="H28" s="82">
        <v>1013143.67</v>
      </c>
      <c r="J28" s="152">
        <f>1160562.75+446767</f>
        <v>1607329.75</v>
      </c>
      <c r="L28" s="169">
        <f>SUM(F13:F14,F23:F24,F41)</f>
        <v>127323435.19</v>
      </c>
    </row>
    <row r="29" spans="4:12" s="155" customFormat="1" ht="23.25" customHeight="1">
      <c r="D29" s="153" t="s">
        <v>47</v>
      </c>
      <c r="F29" s="303">
        <f>SUM(F26-F28)</f>
        <v>125655274.06</v>
      </c>
      <c r="G29" s="175"/>
      <c r="H29" s="303">
        <f>SUM(H26-H28)</f>
        <v>121656904.17</v>
      </c>
      <c r="J29" s="164"/>
      <c r="L29" s="171" t="e">
        <f>#REF!+#REF!+#REF!+#REF!</f>
        <v>#REF!</v>
      </c>
    </row>
    <row r="30" spans="6:12" ht="23.25" customHeight="1">
      <c r="F30" s="175"/>
      <c r="G30" s="175"/>
      <c r="H30" s="228"/>
      <c r="L30" s="171" t="e">
        <f>SUM(#REF!)</f>
        <v>#REF!</v>
      </c>
    </row>
    <row r="31" spans="8:12" ht="23.25" customHeight="1">
      <c r="H31" s="168"/>
      <c r="L31" s="171"/>
    </row>
    <row r="32" spans="8:12" ht="23.25" customHeight="1">
      <c r="H32" s="168"/>
      <c r="L32" s="171"/>
    </row>
    <row r="33" spans="8:12" ht="23.25" customHeight="1">
      <c r="H33" s="168"/>
      <c r="L33" s="171"/>
    </row>
    <row r="34" spans="8:12" ht="23.25" customHeight="1">
      <c r="H34" s="168"/>
      <c r="L34" s="171"/>
    </row>
    <row r="35" spans="1:12" ht="23.25" customHeight="1">
      <c r="A35" s="332" t="s">
        <v>710</v>
      </c>
      <c r="B35" s="326"/>
      <c r="C35" s="326"/>
      <c r="D35" s="326"/>
      <c r="E35" s="326"/>
      <c r="F35" s="326"/>
      <c r="G35" s="326"/>
      <c r="H35" s="326"/>
      <c r="L35" s="171"/>
    </row>
    <row r="36" spans="1:12" ht="14.25" customHeight="1">
      <c r="A36" s="161"/>
      <c r="B36" s="161"/>
      <c r="C36" s="161"/>
      <c r="D36" s="161"/>
      <c r="E36" s="161"/>
      <c r="F36" s="161"/>
      <c r="G36" s="161"/>
      <c r="H36" s="161"/>
      <c r="L36" s="171"/>
    </row>
    <row r="37" spans="1:12" ht="23.25" customHeight="1">
      <c r="A37" s="161"/>
      <c r="B37" s="161"/>
      <c r="C37" s="161"/>
      <c r="D37" s="161"/>
      <c r="E37" s="161"/>
      <c r="F37" s="154" t="s">
        <v>730</v>
      </c>
      <c r="H37" s="154" t="s">
        <v>444</v>
      </c>
      <c r="L37" s="171"/>
    </row>
    <row r="38" spans="1:12" ht="23.25" customHeight="1">
      <c r="A38" s="161"/>
      <c r="B38" s="161"/>
      <c r="C38" s="161"/>
      <c r="D38" s="161"/>
      <c r="E38" s="161"/>
      <c r="F38" s="154" t="s">
        <v>9</v>
      </c>
      <c r="H38" s="154" t="s">
        <v>9</v>
      </c>
      <c r="L38" s="171"/>
    </row>
    <row r="39" spans="1:13" ht="23.25" customHeight="1">
      <c r="A39" s="155" t="s">
        <v>72</v>
      </c>
      <c r="H39" s="168"/>
      <c r="L39" s="171" t="e">
        <f>L29-L30</f>
        <v>#REF!</v>
      </c>
      <c r="M39" s="171" t="e">
        <f>L28-L39</f>
        <v>#REF!</v>
      </c>
    </row>
    <row r="40" spans="2:12" ht="23.25" customHeight="1">
      <c r="B40" s="153" t="s">
        <v>46</v>
      </c>
      <c r="F40" s="109">
        <v>595.64</v>
      </c>
      <c r="H40" s="168">
        <v>101.09</v>
      </c>
      <c r="J40" s="152">
        <f>3720+14595</f>
        <v>18315</v>
      </c>
      <c r="L40" s="156">
        <f>SUM(F40,F22,F12)</f>
        <v>1299094.31</v>
      </c>
    </row>
    <row r="41" spans="1:13" ht="23.25" customHeight="1">
      <c r="A41" s="158" t="s">
        <v>918</v>
      </c>
      <c r="B41" s="153" t="s">
        <v>159</v>
      </c>
      <c r="F41" s="159">
        <f>9169.39</f>
        <v>9169.39</v>
      </c>
      <c r="H41" s="159">
        <v>3329.17</v>
      </c>
      <c r="L41" s="171" t="e">
        <f>#REF!</f>
        <v>#REF!</v>
      </c>
      <c r="M41" s="171" t="e">
        <f>L40-L41</f>
        <v>#REF!</v>
      </c>
    </row>
    <row r="42" spans="4:12" ht="23.25" customHeight="1">
      <c r="D42" s="153" t="s">
        <v>1</v>
      </c>
      <c r="F42" s="157">
        <f>SUM(F40:F41)</f>
        <v>9765.029999999999</v>
      </c>
      <c r="H42" s="157">
        <f>SUM(H40:H41)</f>
        <v>3430.26</v>
      </c>
      <c r="L42" s="171"/>
    </row>
    <row r="43" spans="1:8" ht="23.25" customHeight="1">
      <c r="A43" s="158" t="s">
        <v>919</v>
      </c>
      <c r="B43" s="153" t="s">
        <v>78</v>
      </c>
      <c r="H43" s="168"/>
    </row>
    <row r="44" spans="2:12" ht="23.25" customHeight="1">
      <c r="B44" s="161" t="s">
        <v>86</v>
      </c>
      <c r="C44" s="153" t="s">
        <v>99</v>
      </c>
      <c r="F44" s="109">
        <v>1891.27</v>
      </c>
      <c r="H44" s="168">
        <v>595.64</v>
      </c>
      <c r="J44" s="152">
        <f>6960+15520.45</f>
        <v>22480.45</v>
      </c>
      <c r="L44" s="156">
        <f>SUM(F44,F28,F18)</f>
        <v>1783791.68</v>
      </c>
    </row>
    <row r="45" spans="4:12" s="155" customFormat="1" ht="23.25" customHeight="1">
      <c r="D45" s="153" t="s">
        <v>47</v>
      </c>
      <c r="E45" s="153"/>
      <c r="F45" s="182">
        <f>SUM(F42-F44)</f>
        <v>7873.759999999998</v>
      </c>
      <c r="G45" s="153"/>
      <c r="H45" s="183">
        <f>SUM(H42-H44)</f>
        <v>2834.6200000000003</v>
      </c>
      <c r="J45" s="164"/>
      <c r="L45" s="173" t="e">
        <f>#REF!</f>
        <v>#REF!</v>
      </c>
    </row>
    <row r="46" spans="6:12" s="155" customFormat="1" ht="23.25" customHeight="1">
      <c r="F46" s="166"/>
      <c r="G46" s="170"/>
      <c r="H46" s="167"/>
      <c r="J46" s="164"/>
      <c r="L46" s="173"/>
    </row>
    <row r="47" spans="1:12" s="155" customFormat="1" ht="23.25" customHeight="1">
      <c r="A47" s="155" t="s">
        <v>359</v>
      </c>
      <c r="F47" s="166"/>
      <c r="G47" s="170"/>
      <c r="H47" s="167"/>
      <c r="J47" s="164"/>
      <c r="L47" s="173"/>
    </row>
    <row r="48" spans="2:12" s="155" customFormat="1" ht="23.25" customHeight="1">
      <c r="B48" s="153" t="s">
        <v>360</v>
      </c>
      <c r="C48" s="153"/>
      <c r="D48" s="153"/>
      <c r="F48" s="163">
        <v>224</v>
      </c>
      <c r="G48" s="170"/>
      <c r="H48" s="160">
        <v>8</v>
      </c>
      <c r="J48" s="164"/>
      <c r="L48" s="173"/>
    </row>
    <row r="49" spans="1:12" s="155" customFormat="1" ht="23.25" customHeight="1">
      <c r="A49" s="158" t="s">
        <v>75</v>
      </c>
      <c r="B49" s="153" t="s">
        <v>367</v>
      </c>
      <c r="C49" s="153"/>
      <c r="D49" s="153"/>
      <c r="F49" s="163">
        <f>งบต้นทุนการผลิต!F19</f>
        <v>473112.55999999994</v>
      </c>
      <c r="G49" s="170"/>
      <c r="H49" s="160">
        <f>589375.55+37.7</f>
        <v>589413.25</v>
      </c>
      <c r="J49" s="164"/>
      <c r="L49" s="173"/>
    </row>
    <row r="50" spans="1:12" s="155" customFormat="1" ht="23.25" customHeight="1">
      <c r="A50" s="158" t="s">
        <v>75</v>
      </c>
      <c r="B50" s="153" t="s">
        <v>295</v>
      </c>
      <c r="C50" s="153"/>
      <c r="D50" s="153"/>
      <c r="F50" s="180">
        <v>2033</v>
      </c>
      <c r="G50" s="170"/>
      <c r="H50" s="181">
        <v>8188</v>
      </c>
      <c r="J50" s="164"/>
      <c r="L50" s="173"/>
    </row>
    <row r="51" spans="1:12" s="155" customFormat="1" ht="23.25" customHeight="1">
      <c r="A51" s="153"/>
      <c r="B51" s="153"/>
      <c r="C51" s="153"/>
      <c r="D51" s="153" t="s">
        <v>1</v>
      </c>
      <c r="F51" s="163">
        <f>SUM(F48:F50)</f>
        <v>475369.55999999994</v>
      </c>
      <c r="G51" s="170"/>
      <c r="H51" s="163">
        <f>SUM(H48:H50)</f>
        <v>597609.25</v>
      </c>
      <c r="J51" s="164"/>
      <c r="L51" s="173"/>
    </row>
    <row r="52" spans="1:12" s="155" customFormat="1" ht="23.25" customHeight="1" hidden="1">
      <c r="A52" s="158" t="s">
        <v>77</v>
      </c>
      <c r="B52" s="153" t="s">
        <v>368</v>
      </c>
      <c r="F52" s="163">
        <v>0</v>
      </c>
      <c r="H52" s="160">
        <v>0</v>
      </c>
      <c r="J52" s="164"/>
      <c r="L52" s="173"/>
    </row>
    <row r="53" spans="1:12" s="155" customFormat="1" ht="23.25" customHeight="1">
      <c r="A53" s="158" t="s">
        <v>77</v>
      </c>
      <c r="B53" s="153" t="s">
        <v>78</v>
      </c>
      <c r="C53" s="153"/>
      <c r="F53" s="163"/>
      <c r="H53" s="160"/>
      <c r="J53" s="164"/>
      <c r="L53" s="173"/>
    </row>
    <row r="54" spans="1:12" s="155" customFormat="1" ht="23.25" customHeight="1">
      <c r="A54" s="165"/>
      <c r="B54" s="153"/>
      <c r="C54" s="153" t="s">
        <v>99</v>
      </c>
      <c r="F54" s="163">
        <v>0</v>
      </c>
      <c r="H54" s="160">
        <v>224</v>
      </c>
      <c r="J54" s="164"/>
      <c r="L54" s="173"/>
    </row>
    <row r="55" spans="1:12" s="155" customFormat="1" ht="23.25" customHeight="1" hidden="1">
      <c r="A55" s="165"/>
      <c r="B55" s="153"/>
      <c r="C55" s="153" t="s">
        <v>853</v>
      </c>
      <c r="F55" s="180">
        <v>0</v>
      </c>
      <c r="H55" s="181">
        <v>0</v>
      </c>
      <c r="J55" s="164"/>
      <c r="L55" s="173"/>
    </row>
    <row r="56" spans="4:12" s="155" customFormat="1" ht="23.25" customHeight="1">
      <c r="D56" s="153" t="s">
        <v>47</v>
      </c>
      <c r="E56" s="153"/>
      <c r="F56" s="182">
        <f>F51-F52-F54-F55</f>
        <v>475369.55999999994</v>
      </c>
      <c r="G56" s="153"/>
      <c r="H56" s="183">
        <f>H51-H52-H54</f>
        <v>597385.25</v>
      </c>
      <c r="J56" s="164"/>
      <c r="L56" s="173"/>
    </row>
    <row r="58" ht="23.25" customHeight="1">
      <c r="F58" s="153"/>
    </row>
    <row r="59" ht="23.25" customHeight="1">
      <c r="F59" s="153"/>
    </row>
  </sheetData>
  <sheetProtection/>
  <mergeCells count="4">
    <mergeCell ref="A1:H1"/>
    <mergeCell ref="A2:H2"/>
    <mergeCell ref="A3:H3"/>
    <mergeCell ref="A35:H35"/>
  </mergeCells>
  <printOptions/>
  <pageMargins left="0.7874015748031497" right="0.7480314960629921" top="0.7874015748031497" bottom="0.7874015748031497" header="0.5118110236220472" footer="0.5118110236220472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L13"/>
  <sheetViews>
    <sheetView zoomScalePageLayoutView="0" workbookViewId="0" topLeftCell="A1">
      <selection activeCell="F5" sqref="F5"/>
    </sheetView>
  </sheetViews>
  <sheetFormatPr defaultColWidth="9.140625" defaultRowHeight="21.75"/>
  <cols>
    <col min="1" max="1" width="4.8515625" style="153" customWidth="1"/>
    <col min="2" max="2" width="5.00390625" style="153" customWidth="1"/>
    <col min="3" max="3" width="7.57421875" style="153" customWidth="1"/>
    <col min="4" max="4" width="11.8515625" style="153" customWidth="1"/>
    <col min="5" max="5" width="18.421875" style="153" customWidth="1"/>
    <col min="6" max="6" width="17.8515625" style="153" customWidth="1"/>
    <col min="7" max="7" width="3.57421875" style="153" customWidth="1"/>
    <col min="8" max="8" width="17.8515625" style="153" customWidth="1"/>
    <col min="9" max="16384" width="9.140625" style="153" customWidth="1"/>
  </cols>
  <sheetData>
    <row r="1" spans="1:12" ht="21">
      <c r="A1" s="333" t="s">
        <v>131</v>
      </c>
      <c r="B1" s="333"/>
      <c r="C1" s="333"/>
      <c r="D1" s="333"/>
      <c r="E1" s="333"/>
      <c r="F1" s="333"/>
      <c r="G1" s="333"/>
      <c r="H1" s="333"/>
      <c r="I1" s="151"/>
      <c r="J1" s="151"/>
      <c r="K1" s="151"/>
      <c r="L1" s="151"/>
    </row>
    <row r="2" spans="1:12" ht="13.5" customHeight="1">
      <c r="A2" s="161"/>
      <c r="B2" s="161"/>
      <c r="C2" s="161"/>
      <c r="D2" s="161"/>
      <c r="E2" s="161"/>
      <c r="F2" s="161"/>
      <c r="G2" s="161"/>
      <c r="H2" s="161"/>
      <c r="I2" s="151"/>
      <c r="J2" s="151"/>
      <c r="K2" s="151"/>
      <c r="L2" s="151"/>
    </row>
    <row r="3" spans="6:8" ht="23.25" customHeight="1">
      <c r="F3" s="154" t="s">
        <v>730</v>
      </c>
      <c r="H3" s="154" t="s">
        <v>444</v>
      </c>
    </row>
    <row r="4" spans="6:8" ht="23.25" customHeight="1">
      <c r="F4" s="154" t="s">
        <v>9</v>
      </c>
      <c r="H4" s="154" t="s">
        <v>9</v>
      </c>
    </row>
    <row r="5" spans="1:12" s="155" customFormat="1" ht="23.25" customHeight="1">
      <c r="A5" s="155" t="s">
        <v>666</v>
      </c>
      <c r="F5" s="166"/>
      <c r="G5" s="170"/>
      <c r="H5" s="167"/>
      <c r="J5" s="164"/>
      <c r="L5" s="173"/>
    </row>
    <row r="6" spans="2:12" s="155" customFormat="1" ht="23.25" customHeight="1">
      <c r="B6" s="153" t="s">
        <v>360</v>
      </c>
      <c r="C6" s="153"/>
      <c r="D6" s="153"/>
      <c r="F6" s="163">
        <v>0</v>
      </c>
      <c r="G6" s="170"/>
      <c r="H6" s="160">
        <v>0</v>
      </c>
      <c r="J6" s="164"/>
      <c r="L6" s="173"/>
    </row>
    <row r="7" spans="1:12" s="155" customFormat="1" ht="23.25" customHeight="1">
      <c r="A7" s="158" t="s">
        <v>75</v>
      </c>
      <c r="B7" s="153" t="s">
        <v>367</v>
      </c>
      <c r="C7" s="153"/>
      <c r="D7" s="153"/>
      <c r="F7" s="163">
        <v>0</v>
      </c>
      <c r="G7" s="170"/>
      <c r="H7" s="160">
        <v>0</v>
      </c>
      <c r="J7" s="164"/>
      <c r="L7" s="173"/>
    </row>
    <row r="8" spans="1:12" s="155" customFormat="1" ht="23.25" customHeight="1">
      <c r="A8" s="158" t="s">
        <v>75</v>
      </c>
      <c r="B8" s="153" t="s">
        <v>295</v>
      </c>
      <c r="C8" s="153"/>
      <c r="D8" s="153"/>
      <c r="F8" s="180">
        <v>77023953</v>
      </c>
      <c r="G8" s="170"/>
      <c r="H8" s="181">
        <v>47333722</v>
      </c>
      <c r="J8" s="164"/>
      <c r="L8" s="173"/>
    </row>
    <row r="9" spans="1:12" s="155" customFormat="1" ht="23.25" customHeight="1">
      <c r="A9" s="153"/>
      <c r="B9" s="153"/>
      <c r="C9" s="153"/>
      <c r="D9" s="153" t="s">
        <v>1</v>
      </c>
      <c r="F9" s="163">
        <f>SUM(F6:F8)</f>
        <v>77023953</v>
      </c>
      <c r="G9" s="170"/>
      <c r="H9" s="163">
        <f>SUM(H6:H8)</f>
        <v>47333722</v>
      </c>
      <c r="J9" s="164"/>
      <c r="L9" s="173"/>
    </row>
    <row r="10" spans="1:12" s="155" customFormat="1" ht="23.25" customHeight="1">
      <c r="A10" s="158" t="s">
        <v>77</v>
      </c>
      <c r="B10" s="153" t="s">
        <v>78</v>
      </c>
      <c r="C10" s="153"/>
      <c r="F10" s="163"/>
      <c r="H10" s="160"/>
      <c r="J10" s="164"/>
      <c r="L10" s="173"/>
    </row>
    <row r="11" spans="1:12" s="155" customFormat="1" ht="23.25" customHeight="1">
      <c r="A11" s="165"/>
      <c r="B11" s="161" t="s">
        <v>86</v>
      </c>
      <c r="C11" s="153" t="s">
        <v>99</v>
      </c>
      <c r="F11" s="180">
        <v>0</v>
      </c>
      <c r="H11" s="181">
        <v>0</v>
      </c>
      <c r="J11" s="164"/>
      <c r="L11" s="173"/>
    </row>
    <row r="12" spans="4:12" s="155" customFormat="1" ht="23.25" customHeight="1">
      <c r="D12" s="153" t="s">
        <v>47</v>
      </c>
      <c r="E12" s="153"/>
      <c r="F12" s="182">
        <f>F9-F10-F11</f>
        <v>77023953</v>
      </c>
      <c r="G12" s="153"/>
      <c r="H12" s="183">
        <v>47333722</v>
      </c>
      <c r="J12" s="164"/>
      <c r="L12" s="173"/>
    </row>
    <row r="13" spans="1:8" ht="23.25" customHeight="1" thickBot="1">
      <c r="A13" s="155" t="s">
        <v>48</v>
      </c>
      <c r="F13" s="184">
        <f>+'ต้นทุน 1'!F8+'ต้นทุน 1'!F20+'ต้นทุน 1'!F29+'ต้นทุน 1'!F45+'ต้นทุน 1'!F56+F12</f>
        <v>211565966</v>
      </c>
      <c r="H13" s="184">
        <f>+'ต้นทุน 1'!H8+'ต้นทุน 1'!H20+'ต้นทุน 1'!H29+'ต้นทุน 1'!H45+'ต้นทุน 1'!H56+H12</f>
        <v>176790108.53</v>
      </c>
    </row>
    <row r="14" ht="23.25" customHeight="1" thickTop="1"/>
  </sheetData>
  <sheetProtection/>
  <mergeCells count="1">
    <mergeCell ref="A1:H1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M50"/>
  <sheetViews>
    <sheetView zoomScaleSheetLayoutView="100" zoomScalePageLayoutView="0" workbookViewId="0" topLeftCell="A1">
      <selection activeCell="J19" sqref="J19"/>
    </sheetView>
  </sheetViews>
  <sheetFormatPr defaultColWidth="9.140625" defaultRowHeight="21.75"/>
  <cols>
    <col min="1" max="1" width="6.00390625" style="153" customWidth="1"/>
    <col min="2" max="2" width="9.7109375" style="153" customWidth="1"/>
    <col min="3" max="3" width="5.7109375" style="153" customWidth="1"/>
    <col min="4" max="4" width="17.421875" style="153" customWidth="1"/>
    <col min="5" max="5" width="16.7109375" style="153" customWidth="1"/>
    <col min="6" max="6" width="14.140625" style="156" customWidth="1"/>
    <col min="7" max="7" width="5.28125" style="153" customWidth="1"/>
    <col min="8" max="8" width="14.140625" style="156" customWidth="1"/>
    <col min="9" max="9" width="3.7109375" style="153" customWidth="1"/>
    <col min="10" max="10" width="18.28125" style="152" customWidth="1"/>
    <col min="11" max="11" width="9.140625" style="153" customWidth="1"/>
    <col min="12" max="12" width="16.57421875" style="153" customWidth="1"/>
    <col min="13" max="16384" width="9.140625" style="153" customWidth="1"/>
  </cols>
  <sheetData>
    <row r="1" spans="1:9" ht="21">
      <c r="A1" s="326" t="s">
        <v>132</v>
      </c>
      <c r="B1" s="326"/>
      <c r="C1" s="326"/>
      <c r="D1" s="326"/>
      <c r="E1" s="326"/>
      <c r="F1" s="326"/>
      <c r="G1" s="326"/>
      <c r="H1" s="326"/>
      <c r="I1" s="151"/>
    </row>
    <row r="2" spans="1:9" ht="21">
      <c r="A2" s="326" t="s">
        <v>373</v>
      </c>
      <c r="B2" s="326"/>
      <c r="C2" s="326"/>
      <c r="D2" s="326"/>
      <c r="E2" s="326"/>
      <c r="F2" s="326"/>
      <c r="G2" s="326"/>
      <c r="H2" s="326"/>
      <c r="I2" s="151"/>
    </row>
    <row r="3" spans="1:9" ht="21">
      <c r="A3" s="326" t="s">
        <v>732</v>
      </c>
      <c r="B3" s="326"/>
      <c r="C3" s="326"/>
      <c r="D3" s="326"/>
      <c r="E3" s="326"/>
      <c r="F3" s="326"/>
      <c r="G3" s="326"/>
      <c r="H3" s="326"/>
      <c r="I3" s="151"/>
    </row>
    <row r="5" spans="6:8" ht="21">
      <c r="F5" s="154" t="s">
        <v>730</v>
      </c>
      <c r="H5" s="154" t="s">
        <v>444</v>
      </c>
    </row>
    <row r="6" spans="6:8" ht="21">
      <c r="F6" s="154" t="s">
        <v>9</v>
      </c>
      <c r="H6" s="154" t="s">
        <v>9</v>
      </c>
    </row>
    <row r="7" ht="21">
      <c r="A7" s="155" t="s">
        <v>359</v>
      </c>
    </row>
    <row r="8" spans="1:10" ht="21">
      <c r="A8" s="153" t="s">
        <v>374</v>
      </c>
      <c r="F8" s="174">
        <v>11591.39</v>
      </c>
      <c r="G8" s="175"/>
      <c r="H8" s="174">
        <v>6178.94</v>
      </c>
      <c r="J8" s="152">
        <f>839427.75+598043</f>
        <v>1437470.75</v>
      </c>
    </row>
    <row r="9" spans="1:8" ht="21">
      <c r="A9" s="158" t="s">
        <v>75</v>
      </c>
      <c r="B9" s="153" t="s">
        <v>375</v>
      </c>
      <c r="F9" s="176">
        <f>176398.86+651.9</f>
        <v>177050.75999999998</v>
      </c>
      <c r="G9" s="175"/>
      <c r="H9" s="176">
        <v>219345.72</v>
      </c>
    </row>
    <row r="10" spans="4:8" ht="21">
      <c r="D10" s="153" t="s">
        <v>1</v>
      </c>
      <c r="F10" s="175">
        <f>SUM(F8:F9)</f>
        <v>188642.14999999997</v>
      </c>
      <c r="G10" s="175"/>
      <c r="H10" s="175">
        <f>SUM(H8:H9)</f>
        <v>225524.66</v>
      </c>
    </row>
    <row r="11" spans="1:8" ht="21">
      <c r="A11" s="158" t="s">
        <v>77</v>
      </c>
      <c r="B11" s="153" t="s">
        <v>376</v>
      </c>
      <c r="F11" s="177">
        <v>19565.62</v>
      </c>
      <c r="G11" s="175"/>
      <c r="H11" s="177">
        <v>11591.39</v>
      </c>
    </row>
    <row r="12" spans="1:10" ht="21">
      <c r="A12" s="153" t="s">
        <v>377</v>
      </c>
      <c r="B12" s="161"/>
      <c r="F12" s="113">
        <f>+F10-F11</f>
        <v>169076.52999999997</v>
      </c>
      <c r="G12" s="112"/>
      <c r="H12" s="113">
        <f>H10-H11</f>
        <v>213933.27000000002</v>
      </c>
      <c r="J12" s="152">
        <f>1160562.75+446767</f>
        <v>1607329.75</v>
      </c>
    </row>
    <row r="13" spans="1:10" s="155" customFormat="1" ht="21">
      <c r="A13" s="158" t="s">
        <v>75</v>
      </c>
      <c r="B13" s="162" t="s">
        <v>701</v>
      </c>
      <c r="F13" s="177"/>
      <c r="G13" s="178"/>
      <c r="H13" s="177"/>
      <c r="J13" s="164"/>
    </row>
    <row r="14" spans="1:10" s="155" customFormat="1" ht="21">
      <c r="A14" s="165"/>
      <c r="B14" s="162" t="s">
        <v>378</v>
      </c>
      <c r="F14" s="177">
        <v>218700</v>
      </c>
      <c r="G14" s="178"/>
      <c r="H14" s="177">
        <v>210114</v>
      </c>
      <c r="J14" s="164"/>
    </row>
    <row r="15" spans="1:10" s="155" customFormat="1" ht="21">
      <c r="A15" s="165"/>
      <c r="B15" s="162" t="s">
        <v>857</v>
      </c>
      <c r="F15" s="177">
        <v>3633.37</v>
      </c>
      <c r="G15" s="178"/>
      <c r="H15" s="177">
        <v>0</v>
      </c>
      <c r="J15" s="164"/>
    </row>
    <row r="16" spans="1:10" s="155" customFormat="1" ht="21">
      <c r="A16" s="165"/>
      <c r="B16" s="162" t="s">
        <v>858</v>
      </c>
      <c r="F16" s="177">
        <v>3957.5</v>
      </c>
      <c r="G16" s="178"/>
      <c r="H16" s="177">
        <v>32910</v>
      </c>
      <c r="J16" s="164"/>
    </row>
    <row r="17" spans="1:10" s="155" customFormat="1" ht="21">
      <c r="A17" s="165"/>
      <c r="B17" s="162" t="s">
        <v>379</v>
      </c>
      <c r="F17" s="177">
        <v>14400</v>
      </c>
      <c r="G17" s="178"/>
      <c r="H17" s="177">
        <v>29000</v>
      </c>
      <c r="J17" s="164"/>
    </row>
    <row r="18" spans="1:10" s="155" customFormat="1" ht="21">
      <c r="A18" s="165"/>
      <c r="B18" s="162" t="s">
        <v>380</v>
      </c>
      <c r="F18" s="177">
        <v>63345.16</v>
      </c>
      <c r="G18" s="178"/>
      <c r="H18" s="177">
        <v>103418.28</v>
      </c>
      <c r="J18" s="164"/>
    </row>
    <row r="19" spans="1:10" s="155" customFormat="1" ht="21.75" thickBot="1">
      <c r="A19" s="155" t="s">
        <v>367</v>
      </c>
      <c r="B19" s="162"/>
      <c r="F19" s="179">
        <f>SUM(F12:F18)</f>
        <v>473112.55999999994</v>
      </c>
      <c r="G19" s="178"/>
      <c r="H19" s="179">
        <f>SUM(H12:H18)</f>
        <v>589375.55</v>
      </c>
      <c r="J19" s="164"/>
    </row>
    <row r="20" spans="1:10" s="155" customFormat="1" ht="21.75" thickTop="1">
      <c r="A20" s="165"/>
      <c r="B20" s="153"/>
      <c r="F20" s="166"/>
      <c r="H20" s="167"/>
      <c r="J20" s="164"/>
    </row>
    <row r="21" spans="1:10" s="155" customFormat="1" ht="21">
      <c r="A21" s="165"/>
      <c r="B21" s="153"/>
      <c r="F21" s="166"/>
      <c r="H21" s="167"/>
      <c r="J21" s="164"/>
    </row>
    <row r="22" spans="1:3" ht="21">
      <c r="A22" s="155"/>
      <c r="B22" s="155"/>
      <c r="C22" s="155"/>
    </row>
    <row r="23" spans="6:8" ht="21">
      <c r="F23" s="157"/>
      <c r="H23" s="157"/>
    </row>
    <row r="24" spans="1:8" ht="21">
      <c r="A24" s="165"/>
      <c r="F24" s="157"/>
      <c r="H24" s="157"/>
    </row>
    <row r="25" spans="6:8" ht="21">
      <c r="F25" s="168"/>
      <c r="H25" s="157"/>
    </row>
    <row r="26" spans="6:8" ht="21">
      <c r="F26" s="153"/>
      <c r="H26" s="168"/>
    </row>
    <row r="28" ht="21">
      <c r="A28" s="165"/>
    </row>
    <row r="29" spans="2:12" ht="21">
      <c r="B29" s="161"/>
      <c r="F29" s="119"/>
      <c r="G29" s="70"/>
      <c r="H29" s="119"/>
      <c r="L29" s="169"/>
    </row>
    <row r="30" spans="6:12" s="155" customFormat="1" ht="21">
      <c r="F30" s="166"/>
      <c r="G30" s="170"/>
      <c r="H30" s="167"/>
      <c r="J30" s="164"/>
      <c r="L30" s="171"/>
    </row>
    <row r="31" spans="8:12" ht="21">
      <c r="H31" s="168"/>
      <c r="L31" s="171"/>
    </row>
    <row r="32" spans="1:13" ht="21">
      <c r="A32" s="155"/>
      <c r="H32" s="168"/>
      <c r="L32" s="171"/>
      <c r="M32" s="171"/>
    </row>
    <row r="33" spans="6:12" ht="21">
      <c r="F33" s="109"/>
      <c r="H33" s="168"/>
      <c r="L33" s="156"/>
    </row>
    <row r="34" spans="1:13" ht="21">
      <c r="A34" s="165"/>
      <c r="F34" s="168"/>
      <c r="G34" s="172"/>
      <c r="H34" s="168"/>
      <c r="L34" s="171"/>
      <c r="M34" s="171"/>
    </row>
    <row r="35" spans="6:12" ht="21">
      <c r="F35" s="168"/>
      <c r="G35" s="172"/>
      <c r="H35" s="168"/>
      <c r="L35" s="171"/>
    </row>
    <row r="36" spans="1:8" ht="21">
      <c r="A36" s="165"/>
      <c r="F36" s="160"/>
      <c r="G36" s="172"/>
      <c r="H36" s="168"/>
    </row>
    <row r="37" spans="2:12" ht="21">
      <c r="B37" s="161"/>
      <c r="F37" s="128"/>
      <c r="G37" s="172"/>
      <c r="H37" s="168"/>
      <c r="L37" s="156"/>
    </row>
    <row r="38" spans="6:12" s="155" customFormat="1" ht="21">
      <c r="F38" s="166"/>
      <c r="G38" s="170"/>
      <c r="H38" s="167"/>
      <c r="J38" s="164"/>
      <c r="L38" s="173"/>
    </row>
    <row r="39" spans="6:12" s="155" customFormat="1" ht="21">
      <c r="F39" s="166"/>
      <c r="H39" s="167"/>
      <c r="J39" s="164"/>
      <c r="L39" s="173"/>
    </row>
    <row r="40" spans="6:12" s="155" customFormat="1" ht="21">
      <c r="F40" s="166"/>
      <c r="G40" s="170"/>
      <c r="H40" s="167"/>
      <c r="J40" s="164"/>
      <c r="L40" s="173"/>
    </row>
    <row r="41" spans="2:12" s="155" customFormat="1" ht="21">
      <c r="B41" s="153"/>
      <c r="C41" s="153"/>
      <c r="D41" s="153"/>
      <c r="F41" s="166"/>
      <c r="G41" s="170"/>
      <c r="H41" s="167"/>
      <c r="J41" s="164"/>
      <c r="L41" s="173"/>
    </row>
    <row r="42" spans="1:12" s="155" customFormat="1" ht="21">
      <c r="A42" s="165"/>
      <c r="B42" s="153"/>
      <c r="C42" s="153"/>
      <c r="D42" s="153"/>
      <c r="F42" s="163"/>
      <c r="G42" s="170"/>
      <c r="H42" s="160"/>
      <c r="J42" s="164"/>
      <c r="L42" s="173"/>
    </row>
    <row r="43" spans="2:12" s="155" customFormat="1" ht="21">
      <c r="B43" s="153"/>
      <c r="C43" s="153"/>
      <c r="D43" s="153"/>
      <c r="F43" s="163"/>
      <c r="G43" s="170"/>
      <c r="H43" s="160"/>
      <c r="J43" s="164"/>
      <c r="L43" s="173"/>
    </row>
    <row r="44" spans="2:12" s="155" customFormat="1" ht="21">
      <c r="B44" s="153"/>
      <c r="C44" s="153"/>
      <c r="D44" s="153"/>
      <c r="F44" s="163"/>
      <c r="G44" s="170"/>
      <c r="H44" s="160"/>
      <c r="J44" s="164"/>
      <c r="L44" s="173"/>
    </row>
    <row r="45" spans="2:12" s="155" customFormat="1" ht="21">
      <c r="B45" s="153"/>
      <c r="C45" s="153"/>
      <c r="D45" s="153"/>
      <c r="F45" s="163"/>
      <c r="G45" s="170"/>
      <c r="H45" s="160"/>
      <c r="J45" s="164"/>
      <c r="L45" s="173"/>
    </row>
    <row r="46" spans="2:12" s="155" customFormat="1" ht="21">
      <c r="B46" s="153"/>
      <c r="C46" s="153"/>
      <c r="D46" s="153"/>
      <c r="F46" s="166"/>
      <c r="G46" s="170"/>
      <c r="H46" s="167"/>
      <c r="J46" s="164"/>
      <c r="L46" s="173"/>
    </row>
    <row r="47" spans="1:12" s="155" customFormat="1" ht="21">
      <c r="A47" s="165"/>
      <c r="F47" s="163"/>
      <c r="G47" s="170"/>
      <c r="H47" s="167"/>
      <c r="J47" s="164"/>
      <c r="L47" s="173"/>
    </row>
    <row r="48" spans="3:12" s="155" customFormat="1" ht="21">
      <c r="C48" s="153"/>
      <c r="F48" s="163"/>
      <c r="G48" s="170"/>
      <c r="H48" s="167"/>
      <c r="J48" s="164"/>
      <c r="L48" s="173"/>
    </row>
    <row r="49" spans="6:12" s="155" customFormat="1" ht="21">
      <c r="F49" s="166"/>
      <c r="G49" s="170"/>
      <c r="H49" s="167"/>
      <c r="J49" s="164"/>
      <c r="L49" s="173"/>
    </row>
    <row r="50" spans="6:12" s="155" customFormat="1" ht="21">
      <c r="F50" s="167"/>
      <c r="G50" s="170"/>
      <c r="H50" s="167"/>
      <c r="J50" s="164"/>
      <c r="L50" s="173"/>
    </row>
  </sheetData>
  <sheetProtection/>
  <mergeCells count="3">
    <mergeCell ref="A1:H1"/>
    <mergeCell ref="A2:H2"/>
    <mergeCell ref="A3:H3"/>
  </mergeCells>
  <printOptions/>
  <pageMargins left="0.7874015748031497" right="0.7480314960629921" top="0.7874015748031497" bottom="0.7874015748031497" header="0.5118110236220472" footer="0.5118110236220472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</sheetPr>
  <dimension ref="A1:Q267"/>
  <sheetViews>
    <sheetView view="pageBreakPreview" zoomScale="50" zoomScaleNormal="60" zoomScaleSheetLayoutView="50" zoomScalePageLayoutView="0" workbookViewId="0" topLeftCell="A85">
      <selection activeCell="H119" sqref="H119"/>
    </sheetView>
  </sheetViews>
  <sheetFormatPr defaultColWidth="9.140625" defaultRowHeight="21.75"/>
  <cols>
    <col min="1" max="2" width="3.7109375" style="70" customWidth="1"/>
    <col min="3" max="3" width="4.8515625" style="70" customWidth="1"/>
    <col min="4" max="4" width="11.140625" style="70" customWidth="1"/>
    <col min="5" max="5" width="11.8515625" style="70" customWidth="1"/>
    <col min="6" max="6" width="17.00390625" style="70" customWidth="1"/>
    <col min="7" max="7" width="1.57421875" style="70" customWidth="1"/>
    <col min="8" max="8" width="17.140625" style="70" customWidth="1"/>
    <col min="9" max="9" width="1.7109375" style="70" customWidth="1"/>
    <col min="10" max="10" width="17.28125" style="70" customWidth="1"/>
    <col min="11" max="11" width="1.8515625" style="70" customWidth="1"/>
    <col min="12" max="12" width="17.7109375" style="70" customWidth="1"/>
    <col min="13" max="13" width="14.57421875" style="70" bestFit="1" customWidth="1"/>
    <col min="14" max="14" width="3.421875" style="70" customWidth="1"/>
    <col min="15" max="16" width="16.8515625" style="72" bestFit="1" customWidth="1"/>
    <col min="17" max="16384" width="9.140625" style="70" customWidth="1"/>
  </cols>
  <sheetData>
    <row r="1" spans="1:15" ht="21">
      <c r="A1" s="334" t="s">
        <v>132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69"/>
      <c r="O1" s="71" t="s">
        <v>94</v>
      </c>
    </row>
    <row r="2" spans="1:13" ht="21">
      <c r="A2" s="334" t="s">
        <v>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69"/>
    </row>
    <row r="3" spans="1:13" ht="21">
      <c r="A3" s="334" t="s">
        <v>732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69"/>
    </row>
    <row r="4" spans="1:13" ht="16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ht="21">
      <c r="A5" s="73" t="s">
        <v>878</v>
      </c>
    </row>
    <row r="6" spans="2:3" ht="22.5" customHeight="1">
      <c r="B6" s="74" t="s">
        <v>86</v>
      </c>
      <c r="C6" s="70" t="s">
        <v>87</v>
      </c>
    </row>
    <row r="7" spans="2:3" ht="22.5" customHeight="1">
      <c r="B7" s="74" t="s">
        <v>86</v>
      </c>
      <c r="C7" s="70" t="s">
        <v>91</v>
      </c>
    </row>
    <row r="8" spans="2:3" ht="22.5" customHeight="1">
      <c r="B8" s="74" t="s">
        <v>86</v>
      </c>
      <c r="C8" s="70" t="s">
        <v>724</v>
      </c>
    </row>
    <row r="9" spans="2:3" ht="22.5" customHeight="1">
      <c r="B9" s="74"/>
      <c r="C9" s="70" t="s">
        <v>877</v>
      </c>
    </row>
    <row r="10" spans="2:3" ht="22.5" customHeight="1">
      <c r="B10" s="74" t="s">
        <v>86</v>
      </c>
      <c r="C10" s="70" t="s">
        <v>92</v>
      </c>
    </row>
    <row r="11" spans="2:3" ht="22.5" customHeight="1">
      <c r="B11" s="74"/>
      <c r="C11" s="70" t="s">
        <v>88</v>
      </c>
    </row>
    <row r="12" spans="2:3" ht="22.5" customHeight="1">
      <c r="B12" s="74" t="s">
        <v>86</v>
      </c>
      <c r="C12" s="70" t="s">
        <v>124</v>
      </c>
    </row>
    <row r="13" spans="2:16" ht="22.5" customHeight="1">
      <c r="B13" s="74" t="s">
        <v>86</v>
      </c>
      <c r="C13" s="70" t="s">
        <v>718</v>
      </c>
      <c r="P13" s="70"/>
    </row>
    <row r="14" spans="2:16" ht="22.5" customHeight="1">
      <c r="B14" s="74"/>
      <c r="C14" s="70" t="s">
        <v>719</v>
      </c>
      <c r="P14" s="70"/>
    </row>
    <row r="15" spans="2:16" ht="22.5" customHeight="1">
      <c r="B15" s="74" t="s">
        <v>86</v>
      </c>
      <c r="C15" s="70" t="s">
        <v>725</v>
      </c>
      <c r="P15" s="70"/>
    </row>
    <row r="16" spans="2:16" ht="22.5" customHeight="1">
      <c r="B16" s="74"/>
      <c r="C16" s="70" t="s">
        <v>726</v>
      </c>
      <c r="O16" s="70"/>
      <c r="P16" s="70"/>
    </row>
    <row r="17" spans="2:16" ht="22.5" customHeight="1">
      <c r="B17" s="74"/>
      <c r="C17" s="70" t="s">
        <v>727</v>
      </c>
      <c r="O17" s="70"/>
      <c r="P17" s="70"/>
    </row>
    <row r="18" spans="1:10" s="78" customFormat="1" ht="22.5" customHeight="1">
      <c r="A18" s="75"/>
      <c r="B18" s="74" t="s">
        <v>86</v>
      </c>
      <c r="C18" s="76" t="s">
        <v>921</v>
      </c>
      <c r="D18" s="76"/>
      <c r="E18" s="77"/>
      <c r="F18" s="77"/>
      <c r="G18" s="77"/>
      <c r="H18" s="77"/>
      <c r="I18" s="77"/>
      <c r="J18" s="77"/>
    </row>
    <row r="19" spans="1:10" s="78" customFormat="1" ht="22.5" customHeight="1">
      <c r="A19" s="75"/>
      <c r="C19" s="76" t="s">
        <v>922</v>
      </c>
      <c r="D19" s="76"/>
      <c r="E19" s="77"/>
      <c r="F19" s="77"/>
      <c r="G19" s="77"/>
      <c r="H19" s="77"/>
      <c r="I19" s="77"/>
      <c r="J19" s="77"/>
    </row>
    <row r="20" spans="1:10" s="78" customFormat="1" ht="22.5" customHeight="1">
      <c r="A20" s="75"/>
      <c r="C20" s="70" t="s">
        <v>896</v>
      </c>
      <c r="D20" s="70"/>
      <c r="E20" s="77"/>
      <c r="F20" s="77"/>
      <c r="G20" s="77"/>
      <c r="H20" s="77"/>
      <c r="I20" s="77"/>
      <c r="J20" s="77"/>
    </row>
    <row r="21" spans="2:16" ht="22.5" customHeight="1">
      <c r="B21" s="74" t="s">
        <v>86</v>
      </c>
      <c r="C21" s="70" t="s">
        <v>89</v>
      </c>
      <c r="O21" s="70"/>
      <c r="P21" s="70"/>
    </row>
    <row r="22" spans="2:16" ht="22.5" customHeight="1">
      <c r="B22" s="74" t="s">
        <v>86</v>
      </c>
      <c r="C22" s="70" t="s">
        <v>90</v>
      </c>
      <c r="O22" s="70"/>
      <c r="P22" s="70"/>
    </row>
    <row r="23" spans="2:16" ht="22.5" customHeight="1">
      <c r="B23" s="74"/>
      <c r="C23" s="70" t="s">
        <v>103</v>
      </c>
      <c r="O23" s="70"/>
      <c r="P23" s="70"/>
    </row>
    <row r="24" spans="2:16" ht="22.5" customHeight="1">
      <c r="B24" s="74" t="s">
        <v>86</v>
      </c>
      <c r="C24" s="78" t="s">
        <v>897</v>
      </c>
      <c r="L24" s="79"/>
      <c r="O24" s="70"/>
      <c r="P24" s="70"/>
    </row>
    <row r="25" spans="2:16" ht="22.5" customHeight="1">
      <c r="B25" s="74"/>
      <c r="C25" s="78" t="s">
        <v>899</v>
      </c>
      <c r="L25" s="79"/>
      <c r="O25" s="70"/>
      <c r="P25" s="70"/>
    </row>
    <row r="26" spans="2:16" ht="22.5" customHeight="1">
      <c r="B26" s="74"/>
      <c r="C26" s="78" t="s">
        <v>898</v>
      </c>
      <c r="L26" s="79"/>
      <c r="O26" s="70"/>
      <c r="P26" s="70"/>
    </row>
    <row r="27" spans="2:16" ht="22.5" customHeight="1">
      <c r="B27" s="74" t="s">
        <v>86</v>
      </c>
      <c r="C27" s="78" t="s">
        <v>403</v>
      </c>
      <c r="L27" s="79"/>
      <c r="O27" s="70"/>
      <c r="P27" s="70"/>
    </row>
    <row r="28" spans="2:16" ht="22.5" customHeight="1">
      <c r="B28" s="74"/>
      <c r="C28" s="78" t="s">
        <v>694</v>
      </c>
      <c r="L28" s="79"/>
      <c r="O28" s="70"/>
      <c r="P28" s="70"/>
    </row>
    <row r="29" spans="2:16" ht="22.5" customHeight="1">
      <c r="B29" s="74"/>
      <c r="C29" s="78" t="s">
        <v>402</v>
      </c>
      <c r="L29" s="79"/>
      <c r="O29" s="70"/>
      <c r="P29" s="70"/>
    </row>
    <row r="30" spans="2:16" ht="22.5" customHeight="1">
      <c r="B30" s="74" t="s">
        <v>86</v>
      </c>
      <c r="C30" s="78" t="s">
        <v>689</v>
      </c>
      <c r="L30" s="79"/>
      <c r="O30" s="70"/>
      <c r="P30" s="70"/>
    </row>
    <row r="31" spans="2:16" ht="22.5" customHeight="1">
      <c r="B31" s="74"/>
      <c r="C31" s="78" t="s">
        <v>711</v>
      </c>
      <c r="L31" s="79"/>
      <c r="O31" s="70"/>
      <c r="P31" s="70"/>
    </row>
    <row r="32" spans="2:16" ht="22.5" customHeight="1">
      <c r="B32" s="74"/>
      <c r="C32" s="78" t="s">
        <v>695</v>
      </c>
      <c r="L32" s="79"/>
      <c r="O32" s="70"/>
      <c r="P32" s="70"/>
    </row>
    <row r="33" spans="3:16" ht="22.5" customHeight="1">
      <c r="C33" s="70" t="s">
        <v>712</v>
      </c>
      <c r="L33" s="79"/>
      <c r="O33" s="70"/>
      <c r="P33" s="70"/>
    </row>
    <row r="34" spans="3:16" ht="22.5" customHeight="1">
      <c r="C34" s="70" t="s">
        <v>713</v>
      </c>
      <c r="L34" s="79"/>
      <c r="O34" s="70"/>
      <c r="P34" s="70"/>
    </row>
    <row r="35" spans="3:16" ht="22.5" customHeight="1">
      <c r="C35" s="70" t="s">
        <v>714</v>
      </c>
      <c r="L35" s="79"/>
      <c r="O35" s="70"/>
      <c r="P35" s="70"/>
    </row>
    <row r="36" spans="2:16" ht="22.5" customHeight="1">
      <c r="B36" s="74" t="s">
        <v>86</v>
      </c>
      <c r="C36" s="78" t="s">
        <v>923</v>
      </c>
      <c r="L36" s="79"/>
      <c r="O36" s="70"/>
      <c r="P36" s="70"/>
    </row>
    <row r="37" spans="2:16" ht="22.5" customHeight="1">
      <c r="B37" s="74"/>
      <c r="C37" s="78" t="s">
        <v>924</v>
      </c>
      <c r="L37" s="79"/>
      <c r="O37" s="70"/>
      <c r="P37" s="70"/>
    </row>
    <row r="38" spans="2:16" ht="21">
      <c r="B38" s="74"/>
      <c r="C38" s="78" t="s">
        <v>900</v>
      </c>
      <c r="L38" s="79"/>
      <c r="O38" s="70"/>
      <c r="P38" s="70"/>
    </row>
    <row r="39" spans="1:16" ht="21">
      <c r="A39" s="334" t="s">
        <v>130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O39" s="70"/>
      <c r="P39" s="70"/>
    </row>
    <row r="40" spans="1:16" ht="2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O40" s="70"/>
      <c r="P40" s="70"/>
    </row>
    <row r="41" spans="1:16" ht="22.5" customHeight="1">
      <c r="A41" s="73" t="s">
        <v>879</v>
      </c>
      <c r="O41" s="70"/>
      <c r="P41" s="70"/>
    </row>
    <row r="42" spans="1:16" ht="22.5" customHeight="1">
      <c r="A42" s="73"/>
      <c r="I42" s="80"/>
      <c r="J42" s="80" t="s">
        <v>730</v>
      </c>
      <c r="K42" s="80"/>
      <c r="L42" s="80" t="s">
        <v>444</v>
      </c>
      <c r="O42" s="70"/>
      <c r="P42" s="70"/>
    </row>
    <row r="43" spans="2:16" ht="22.5" customHeight="1">
      <c r="B43" s="73"/>
      <c r="C43" s="73"/>
      <c r="I43" s="81"/>
      <c r="J43" s="80" t="s">
        <v>9</v>
      </c>
      <c r="K43" s="81"/>
      <c r="L43" s="80" t="s">
        <v>9</v>
      </c>
      <c r="O43" s="70"/>
      <c r="P43" s="70"/>
    </row>
    <row r="44" spans="2:12" ht="22.5" customHeight="1">
      <c r="B44" s="70" t="s">
        <v>50</v>
      </c>
      <c r="I44" s="71"/>
      <c r="J44" s="82">
        <f>กระดาษทำการงบทดลองเครื่อง!S6</f>
        <v>421323.75</v>
      </c>
      <c r="K44" s="83"/>
      <c r="L44" s="82">
        <v>703474</v>
      </c>
    </row>
    <row r="45" spans="2:12" ht="22.5" customHeight="1">
      <c r="B45" s="70" t="s">
        <v>51</v>
      </c>
      <c r="I45" s="71"/>
      <c r="J45" s="82"/>
      <c r="K45" s="83"/>
      <c r="L45" s="82"/>
    </row>
    <row r="46" spans="4:16" ht="22.5" customHeight="1">
      <c r="D46" s="70" t="s">
        <v>52</v>
      </c>
      <c r="I46" s="71"/>
      <c r="J46" s="82">
        <f>กระดาษทำการงบทดลองเครื่อง!S7+กระดาษทำการงบทดลองเครื่อง!S8+กระดาษทำการงบทดลองเครื่อง!S9+กระดาษทำการงบทดลองเครื่อง!S10+กระดาษทำการงบทดลองเครื่อง!S11+กระดาษทำการงบทดลองเครื่อง!S13+กระดาษทำการงบทดลองเครื่อง!S14+กระดาษทำการงบทดลองเครื่อง!S15+กระดาษทำการงบทดลองเครื่อง!S16+กระดาษทำการงบทดลองเครื่อง!S17+กระดาษทำการงบทดลองเครื่อง!S21</f>
        <v>72901185.96999998</v>
      </c>
      <c r="K46" s="83"/>
      <c r="L46" s="82">
        <v>117246798.04</v>
      </c>
      <c r="O46" s="72" t="e">
        <f>#REF!</f>
        <v>#REF!</v>
      </c>
      <c r="P46" s="72" t="e">
        <f>J46-O46</f>
        <v>#REF!</v>
      </c>
    </row>
    <row r="47" spans="4:12" ht="22.5" customHeight="1">
      <c r="D47" s="70" t="s">
        <v>133</v>
      </c>
      <c r="I47" s="71"/>
      <c r="J47" s="82">
        <f>กระดาษทำการงบทดลองเครื่อง!S25</f>
        <v>101458.31</v>
      </c>
      <c r="K47" s="83"/>
      <c r="L47" s="82">
        <v>100057.51</v>
      </c>
    </row>
    <row r="48" spans="4:12" ht="22.5" customHeight="1">
      <c r="D48" s="70" t="s">
        <v>408</v>
      </c>
      <c r="I48" s="71"/>
      <c r="J48" s="82">
        <f>กระดาษทำการงบทดลองเครื่อง!S12</f>
        <v>1500000</v>
      </c>
      <c r="K48" s="83"/>
      <c r="L48" s="82">
        <v>2501000</v>
      </c>
    </row>
    <row r="49" spans="5:12" ht="22.5" customHeight="1" thickBot="1">
      <c r="E49" s="73" t="s">
        <v>1</v>
      </c>
      <c r="I49" s="84"/>
      <c r="J49" s="85">
        <f>SUM(J44:J48)</f>
        <v>74923968.02999999</v>
      </c>
      <c r="K49" s="86"/>
      <c r="L49" s="85">
        <f>SUM(L44:L48)</f>
        <v>120551329.55000001</v>
      </c>
    </row>
    <row r="50" spans="2:12" ht="22.5" customHeight="1" thickTop="1">
      <c r="B50" s="87" t="s">
        <v>134</v>
      </c>
      <c r="E50" s="73"/>
      <c r="I50" s="84"/>
      <c r="J50" s="86"/>
      <c r="K50" s="86"/>
      <c r="L50" s="86"/>
    </row>
    <row r="51" spans="3:12" ht="22.5" customHeight="1">
      <c r="C51" s="70" t="s">
        <v>135</v>
      </c>
      <c r="E51" s="73"/>
      <c r="I51" s="84"/>
      <c r="J51" s="84"/>
      <c r="K51" s="84"/>
      <c r="L51" s="84"/>
    </row>
    <row r="52" spans="2:12" ht="22.5" customHeight="1">
      <c r="B52" s="70" t="s">
        <v>835</v>
      </c>
      <c r="E52" s="73"/>
      <c r="I52" s="84"/>
      <c r="J52" s="84"/>
      <c r="K52" s="84"/>
      <c r="L52" s="84"/>
    </row>
    <row r="53" spans="2:12" ht="22.5" customHeight="1">
      <c r="B53" s="70" t="s">
        <v>136</v>
      </c>
      <c r="E53" s="73"/>
      <c r="I53" s="84"/>
      <c r="J53" s="84"/>
      <c r="K53" s="84"/>
      <c r="L53" s="84"/>
    </row>
    <row r="54" spans="5:12" ht="22.5" customHeight="1">
      <c r="E54" s="73"/>
      <c r="I54" s="84"/>
      <c r="J54" s="84"/>
      <c r="K54" s="84"/>
      <c r="L54" s="84"/>
    </row>
    <row r="55" ht="22.5" customHeight="1">
      <c r="A55" s="73" t="s">
        <v>880</v>
      </c>
    </row>
    <row r="56" spans="1:12" ht="22.5" customHeight="1">
      <c r="A56" s="73"/>
      <c r="I56" s="80"/>
      <c r="J56" s="80" t="s">
        <v>730</v>
      </c>
      <c r="K56" s="80"/>
      <c r="L56" s="80" t="s">
        <v>444</v>
      </c>
    </row>
    <row r="57" spans="2:12" ht="22.5" customHeight="1">
      <c r="B57" s="73"/>
      <c r="C57" s="73"/>
      <c r="I57" s="81"/>
      <c r="J57" s="80" t="s">
        <v>9</v>
      </c>
      <c r="K57" s="81"/>
      <c r="L57" s="80" t="s">
        <v>9</v>
      </c>
    </row>
    <row r="58" spans="2:12" ht="22.5" customHeight="1">
      <c r="B58" s="70" t="s">
        <v>341</v>
      </c>
      <c r="I58" s="71"/>
      <c r="J58" s="88">
        <f>กระดาษทำการงบทดลองเครื่อง!S22</f>
        <v>71447059.79</v>
      </c>
      <c r="K58" s="89"/>
      <c r="L58" s="88">
        <v>2058162.24</v>
      </c>
    </row>
    <row r="59" spans="2:12" ht="22.5" customHeight="1">
      <c r="B59" s="70" t="s">
        <v>137</v>
      </c>
      <c r="I59" s="71"/>
      <c r="J59" s="88">
        <f>กระดาษทำการงบทดลองเครื่อง!S23</f>
        <v>2110.98</v>
      </c>
      <c r="K59" s="89"/>
      <c r="L59" s="88">
        <v>2015.26</v>
      </c>
    </row>
    <row r="60" spans="2:15" ht="22.5" customHeight="1">
      <c r="B60" s="70" t="s">
        <v>418</v>
      </c>
      <c r="I60" s="71"/>
      <c r="J60" s="90" t="s">
        <v>442</v>
      </c>
      <c r="K60" s="89"/>
      <c r="L60" s="88">
        <v>66231.78</v>
      </c>
      <c r="O60" s="91"/>
    </row>
    <row r="61" spans="5:12" ht="22.5" customHeight="1" thickBot="1">
      <c r="E61" s="73" t="s">
        <v>1</v>
      </c>
      <c r="I61" s="84"/>
      <c r="J61" s="92">
        <f>SUM(J58:J60)</f>
        <v>71449170.77000001</v>
      </c>
      <c r="K61" s="93"/>
      <c r="L61" s="94">
        <f>SUM(L58:L60)</f>
        <v>2126409.28</v>
      </c>
    </row>
    <row r="62" spans="5:12" ht="22.5" customHeight="1" thickTop="1">
      <c r="E62" s="73"/>
      <c r="I62" s="84"/>
      <c r="J62" s="84"/>
      <c r="K62" s="84"/>
      <c r="L62" s="84"/>
    </row>
    <row r="63" spans="3:12" ht="22.5" customHeight="1">
      <c r="C63" s="70" t="s">
        <v>663</v>
      </c>
      <c r="E63" s="73"/>
      <c r="I63" s="84"/>
      <c r="J63" s="84"/>
      <c r="K63" s="84"/>
      <c r="L63" s="84"/>
    </row>
    <row r="64" spans="5:12" ht="22.5" customHeight="1">
      <c r="E64" s="73"/>
      <c r="I64" s="84"/>
      <c r="J64" s="84"/>
      <c r="K64" s="84"/>
      <c r="L64" s="84"/>
    </row>
    <row r="65" spans="1:5" ht="22.5" customHeight="1">
      <c r="A65" s="95" t="s">
        <v>881</v>
      </c>
      <c r="D65" s="96"/>
      <c r="E65" s="96"/>
    </row>
    <row r="66" spans="1:12" ht="22.5" customHeight="1">
      <c r="A66" s="95"/>
      <c r="D66" s="96"/>
      <c r="E66" s="96"/>
      <c r="J66" s="80" t="s">
        <v>730</v>
      </c>
      <c r="K66" s="80"/>
      <c r="L66" s="80" t="s">
        <v>444</v>
      </c>
    </row>
    <row r="67" spans="1:12" ht="22.5" customHeight="1">
      <c r="A67" s="95"/>
      <c r="D67" s="96"/>
      <c r="E67" s="96"/>
      <c r="J67" s="80" t="s">
        <v>9</v>
      </c>
      <c r="K67" s="80"/>
      <c r="L67" s="80" t="s">
        <v>9</v>
      </c>
    </row>
    <row r="68" spans="1:12" ht="22.5" customHeight="1">
      <c r="A68" s="95"/>
      <c r="B68" s="95"/>
      <c r="C68" s="95"/>
      <c r="D68" s="96"/>
      <c r="E68" s="96"/>
      <c r="F68" s="80"/>
      <c r="H68" s="80"/>
      <c r="I68" s="81"/>
      <c r="J68" s="80" t="s">
        <v>0</v>
      </c>
      <c r="K68" s="81"/>
      <c r="L68" s="80" t="s">
        <v>0</v>
      </c>
    </row>
    <row r="69" spans="2:12" ht="22.5" customHeight="1">
      <c r="B69" s="87" t="s">
        <v>15</v>
      </c>
      <c r="F69" s="97"/>
      <c r="G69" s="97"/>
      <c r="H69" s="97"/>
      <c r="I69" s="97"/>
      <c r="J69" s="97"/>
      <c r="K69" s="97"/>
      <c r="L69" s="98"/>
    </row>
    <row r="70" spans="2:12" ht="22.5" customHeight="1">
      <c r="B70" s="87" t="s">
        <v>59</v>
      </c>
      <c r="F70" s="97"/>
      <c r="G70" s="97"/>
      <c r="H70" s="97"/>
      <c r="I70" s="97"/>
      <c r="J70" s="97"/>
      <c r="K70" s="97"/>
      <c r="L70" s="97"/>
    </row>
    <row r="71" spans="3:16" ht="22.5" customHeight="1">
      <c r="C71" s="70" t="s">
        <v>57</v>
      </c>
      <c r="F71" s="97"/>
      <c r="G71" s="97"/>
      <c r="H71" s="99"/>
      <c r="I71" s="99"/>
      <c r="J71" s="100">
        <v>20000</v>
      </c>
      <c r="K71" s="100"/>
      <c r="L71" s="100">
        <v>20000</v>
      </c>
      <c r="O71" s="72" t="e">
        <f>#REF!</f>
        <v>#REF!</v>
      </c>
      <c r="P71" s="72" t="e">
        <f>H71-O71</f>
        <v>#REF!</v>
      </c>
    </row>
    <row r="72" spans="3:16" ht="22.5" customHeight="1">
      <c r="C72" s="70" t="s">
        <v>114</v>
      </c>
      <c r="F72" s="97"/>
      <c r="G72" s="97"/>
      <c r="H72" s="99"/>
      <c r="I72" s="99"/>
      <c r="J72" s="100">
        <v>120000</v>
      </c>
      <c r="K72" s="100"/>
      <c r="L72" s="100">
        <v>120000</v>
      </c>
      <c r="O72" s="72" t="e">
        <f>#REF!</f>
        <v>#REF!</v>
      </c>
      <c r="P72" s="72" t="e">
        <f>H72-O72</f>
        <v>#REF!</v>
      </c>
    </row>
    <row r="73" spans="2:16" s="73" customFormat="1" ht="22.5" customHeight="1" thickBot="1">
      <c r="B73" s="73" t="s">
        <v>81</v>
      </c>
      <c r="F73" s="101"/>
      <c r="G73" s="101"/>
      <c r="H73" s="102"/>
      <c r="I73" s="103"/>
      <c r="J73" s="104">
        <f>SUM(J71:J72)</f>
        <v>140000</v>
      </c>
      <c r="K73" s="105"/>
      <c r="L73" s="104">
        <f>SUM(L71:L72)</f>
        <v>140000</v>
      </c>
      <c r="O73" s="72"/>
      <c r="P73" s="72"/>
    </row>
    <row r="74" spans="5:12" ht="21.75" thickTop="1">
      <c r="E74" s="73"/>
      <c r="I74" s="84"/>
      <c r="K74" s="106"/>
      <c r="L74" s="107"/>
    </row>
    <row r="75" spans="5:12" ht="21">
      <c r="E75" s="73"/>
      <c r="I75" s="84"/>
      <c r="K75" s="106"/>
      <c r="L75" s="107"/>
    </row>
    <row r="76" spans="5:12" ht="21">
      <c r="E76" s="73"/>
      <c r="I76" s="84"/>
      <c r="K76" s="106"/>
      <c r="L76" s="107"/>
    </row>
    <row r="77" spans="5:12" ht="21">
      <c r="E77" s="73"/>
      <c r="I77" s="84"/>
      <c r="K77" s="106"/>
      <c r="L77" s="107"/>
    </row>
    <row r="78" spans="1:12" ht="21">
      <c r="A78" s="334" t="s">
        <v>131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</row>
    <row r="79" spans="1:12" ht="2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1:3" ht="22.5" customHeight="1">
      <c r="A80" s="73" t="s">
        <v>882</v>
      </c>
      <c r="C80" s="73"/>
    </row>
    <row r="81" spans="1:12" ht="22.5" customHeight="1">
      <c r="A81" s="73"/>
      <c r="C81" s="73"/>
      <c r="F81" s="329" t="s">
        <v>730</v>
      </c>
      <c r="G81" s="329"/>
      <c r="H81" s="329"/>
      <c r="I81" s="80"/>
      <c r="J81" s="329" t="s">
        <v>444</v>
      </c>
      <c r="K81" s="329"/>
      <c r="L81" s="329"/>
    </row>
    <row r="82" spans="2:12" ht="22.5" customHeight="1">
      <c r="B82" s="73"/>
      <c r="C82" s="73"/>
      <c r="F82" s="329" t="s">
        <v>9</v>
      </c>
      <c r="G82" s="329"/>
      <c r="H82" s="329"/>
      <c r="I82" s="80"/>
      <c r="J82" s="329" t="s">
        <v>9</v>
      </c>
      <c r="K82" s="329"/>
      <c r="L82" s="329"/>
    </row>
    <row r="83" spans="6:12" ht="22.5" customHeight="1">
      <c r="F83" s="108" t="s">
        <v>79</v>
      </c>
      <c r="G83" s="109"/>
      <c r="H83" s="110" t="s">
        <v>104</v>
      </c>
      <c r="I83" s="108"/>
      <c r="J83" s="110" t="s">
        <v>79</v>
      </c>
      <c r="K83" s="108"/>
      <c r="L83" s="110" t="s">
        <v>104</v>
      </c>
    </row>
    <row r="84" spans="2:16" ht="22.5" customHeight="1">
      <c r="B84" s="70" t="s">
        <v>73</v>
      </c>
      <c r="F84" s="82">
        <v>54811508</v>
      </c>
      <c r="G84" s="111"/>
      <c r="H84" s="111">
        <v>0</v>
      </c>
      <c r="I84" s="82"/>
      <c r="J84" s="82">
        <v>56948117</v>
      </c>
      <c r="K84" s="82"/>
      <c r="L84" s="111">
        <v>0</v>
      </c>
      <c r="O84" s="72" t="e">
        <f>#REF!</f>
        <v>#REF!</v>
      </c>
      <c r="P84" s="72" t="e">
        <f>F84-O84</f>
        <v>#REF!</v>
      </c>
    </row>
    <row r="85" spans="2:12" ht="22.5" customHeight="1">
      <c r="B85" s="70" t="s">
        <v>74</v>
      </c>
      <c r="F85" s="82">
        <v>24900884</v>
      </c>
      <c r="G85" s="111"/>
      <c r="H85" s="111">
        <v>41546562</v>
      </c>
      <c r="I85" s="82"/>
      <c r="J85" s="82">
        <v>26743583</v>
      </c>
      <c r="K85" s="82"/>
      <c r="L85" s="111">
        <v>44108574</v>
      </c>
    </row>
    <row r="86" spans="2:16" ht="22.5" customHeight="1">
      <c r="B86" s="70" t="s">
        <v>138</v>
      </c>
      <c r="F86" s="83">
        <v>23632355</v>
      </c>
      <c r="G86" s="111"/>
      <c r="H86" s="112">
        <v>122877963</v>
      </c>
      <c r="I86" s="83"/>
      <c r="J86" s="83">
        <v>19404613</v>
      </c>
      <c r="K86" s="83"/>
      <c r="L86" s="112">
        <v>102962400</v>
      </c>
      <c r="O86" s="72" t="e">
        <f>#REF!</f>
        <v>#REF!</v>
      </c>
      <c r="P86" s="72" t="e">
        <f>F86-O86</f>
        <v>#REF!</v>
      </c>
    </row>
    <row r="87" spans="5:12" ht="22.5" customHeight="1">
      <c r="E87" s="70" t="s">
        <v>1</v>
      </c>
      <c r="F87" s="113">
        <f>SUM(F84:F86)</f>
        <v>103344747</v>
      </c>
      <c r="G87" s="83"/>
      <c r="H87" s="114">
        <f>SUM(H84:H86)</f>
        <v>164424525</v>
      </c>
      <c r="I87" s="83"/>
      <c r="J87" s="113">
        <f>SUM(J84:J86)</f>
        <v>103096313</v>
      </c>
      <c r="K87" s="83"/>
      <c r="L87" s="114">
        <f>SUM(L84:L86)</f>
        <v>147070974</v>
      </c>
    </row>
    <row r="88" spans="2:12" ht="22.5" customHeight="1">
      <c r="B88" s="115" t="s">
        <v>883</v>
      </c>
      <c r="F88" s="116">
        <v>1827792.45</v>
      </c>
      <c r="G88" s="83"/>
      <c r="H88" s="116">
        <v>239785.7</v>
      </c>
      <c r="I88" s="83"/>
      <c r="J88" s="116">
        <v>1047407.8</v>
      </c>
      <c r="K88" s="83"/>
      <c r="L88" s="116">
        <v>0</v>
      </c>
    </row>
    <row r="89" spans="2:12" ht="22.5" customHeight="1" thickBot="1">
      <c r="B89" s="73" t="s">
        <v>125</v>
      </c>
      <c r="F89" s="117">
        <f>F87-F88</f>
        <v>101516954.55</v>
      </c>
      <c r="G89" s="111"/>
      <c r="H89" s="117">
        <f>SUM(H87-H88)</f>
        <v>164184739.3</v>
      </c>
      <c r="I89" s="118"/>
      <c r="J89" s="117">
        <f>SUM(J87-J88)</f>
        <v>102048905.2</v>
      </c>
      <c r="K89" s="118"/>
      <c r="L89" s="117">
        <f>SUM(L87-L88)</f>
        <v>147070974</v>
      </c>
    </row>
    <row r="90" spans="5:12" ht="18" customHeight="1" thickTop="1">
      <c r="E90" s="73"/>
      <c r="I90" s="84"/>
      <c r="J90" s="84"/>
      <c r="K90" s="84"/>
      <c r="L90" s="84"/>
    </row>
    <row r="91" spans="4:12" ht="22.5" customHeight="1">
      <c r="D91" s="70" t="s">
        <v>733</v>
      </c>
      <c r="F91" s="119"/>
      <c r="G91" s="109"/>
      <c r="H91" s="109"/>
      <c r="I91" s="119"/>
      <c r="J91" s="119"/>
      <c r="K91" s="119"/>
      <c r="L91" s="109"/>
    </row>
    <row r="92" spans="3:12" ht="22.5" customHeight="1">
      <c r="C92" s="70" t="s">
        <v>690</v>
      </c>
      <c r="F92" s="119"/>
      <c r="G92" s="109"/>
      <c r="H92" s="97" t="s">
        <v>691</v>
      </c>
      <c r="I92" s="119"/>
      <c r="J92" s="82">
        <v>1445434</v>
      </c>
      <c r="K92" s="119"/>
      <c r="L92" s="109" t="s">
        <v>9</v>
      </c>
    </row>
    <row r="93" spans="3:12" ht="22.5" customHeight="1">
      <c r="C93" s="70" t="s">
        <v>692</v>
      </c>
      <c r="F93" s="119"/>
      <c r="G93" s="109"/>
      <c r="H93" s="97" t="s">
        <v>691</v>
      </c>
      <c r="I93" s="119"/>
      <c r="J93" s="82">
        <v>382358.45</v>
      </c>
      <c r="K93" s="119"/>
      <c r="L93" s="109" t="s">
        <v>9</v>
      </c>
    </row>
    <row r="94" spans="3:12" ht="22.5" customHeight="1">
      <c r="C94" s="70" t="s">
        <v>693</v>
      </c>
      <c r="F94" s="119"/>
      <c r="G94" s="109"/>
      <c r="H94" s="97" t="s">
        <v>691</v>
      </c>
      <c r="I94" s="119"/>
      <c r="J94" s="82">
        <v>239785.7</v>
      </c>
      <c r="K94" s="119"/>
      <c r="L94" s="109" t="s">
        <v>9</v>
      </c>
    </row>
    <row r="95" spans="6:12" ht="22.5" customHeight="1" thickBot="1">
      <c r="F95" s="119"/>
      <c r="G95" s="109"/>
      <c r="H95" s="109"/>
      <c r="I95" s="119"/>
      <c r="J95" s="120">
        <f>SUM(J92:J94)</f>
        <v>2067578.15</v>
      </c>
      <c r="K95" s="119"/>
      <c r="L95" s="109"/>
    </row>
    <row r="96" spans="5:12" ht="22.5" customHeight="1" thickTop="1">
      <c r="E96" s="73"/>
      <c r="I96" s="84"/>
      <c r="J96" s="84"/>
      <c r="K96" s="84"/>
      <c r="L96" s="84"/>
    </row>
    <row r="97" spans="1:3" ht="22.5" customHeight="1">
      <c r="A97" s="73" t="s">
        <v>884</v>
      </c>
      <c r="C97" s="73"/>
    </row>
    <row r="98" spans="1:12" ht="22.5" customHeight="1">
      <c r="A98" s="73"/>
      <c r="C98" s="73"/>
      <c r="F98" s="329" t="s">
        <v>730</v>
      </c>
      <c r="G98" s="329"/>
      <c r="H98" s="329"/>
      <c r="J98" s="329" t="s">
        <v>444</v>
      </c>
      <c r="K98" s="329"/>
      <c r="L98" s="329"/>
    </row>
    <row r="99" spans="2:12" ht="22.5" customHeight="1">
      <c r="B99" s="73"/>
      <c r="C99" s="73"/>
      <c r="F99" s="329" t="s">
        <v>9</v>
      </c>
      <c r="G99" s="329"/>
      <c r="H99" s="329"/>
      <c r="J99" s="329" t="s">
        <v>9</v>
      </c>
      <c r="K99" s="329"/>
      <c r="L99" s="329"/>
    </row>
    <row r="100" spans="6:12" ht="22.5" customHeight="1">
      <c r="F100" s="80" t="s">
        <v>79</v>
      </c>
      <c r="H100" s="80" t="s">
        <v>104</v>
      </c>
      <c r="J100" s="80" t="s">
        <v>79</v>
      </c>
      <c r="L100" s="80" t="s">
        <v>104</v>
      </c>
    </row>
    <row r="101" spans="2:17" ht="22.5" customHeight="1">
      <c r="B101" s="70" t="s">
        <v>53</v>
      </c>
      <c r="F101" s="82">
        <f>กระดาษทำการงบทดลองเครื่อง!S28+กระดาษทำการงบทดลองเครื่อง!S29</f>
        <v>1000096.06</v>
      </c>
      <c r="G101" s="111"/>
      <c r="H101" s="111">
        <v>0</v>
      </c>
      <c r="I101" s="111"/>
      <c r="J101" s="82">
        <v>845013.25</v>
      </c>
      <c r="K101" s="111"/>
      <c r="L101" s="111">
        <v>0</v>
      </c>
      <c r="O101" s="72" t="e">
        <f>#REF!</f>
        <v>#REF!</v>
      </c>
      <c r="P101" s="72" t="e">
        <f>F101-O101</f>
        <v>#REF!</v>
      </c>
      <c r="Q101" s="70">
        <f>3420888-3414888</f>
        <v>6000</v>
      </c>
    </row>
    <row r="102" spans="2:16" ht="22.5" customHeight="1">
      <c r="B102" s="70" t="s">
        <v>54</v>
      </c>
      <c r="F102" s="116">
        <f>กระดาษทำการงบทดลองเครื่อง!S30+กระดาษทำการงบทดลองเครื่อง!S31+กระดาษทำการงบทดลองเครื่อง!S39+กระดาษทำการงบทดลองเครื่อง!S41+กระดาษทำการงบทดลองเครื่อง!S42+กระดาษทำการงบทดลองเครื่อง!S43+กระดาษทำการงบทดลองเครื่อง!S44+9990+32520</f>
        <v>2120467.24</v>
      </c>
      <c r="G102" s="111"/>
      <c r="H102" s="121">
        <v>0</v>
      </c>
      <c r="I102" s="111"/>
      <c r="J102" s="116">
        <v>1166317.11</v>
      </c>
      <c r="K102" s="111"/>
      <c r="L102" s="121">
        <v>0</v>
      </c>
      <c r="O102" s="72">
        <v>104478.75</v>
      </c>
      <c r="P102" s="72">
        <f>F102-O102</f>
        <v>2015988.4900000002</v>
      </c>
    </row>
    <row r="103" spans="5:15" ht="22.5" customHeight="1">
      <c r="E103" s="70" t="s">
        <v>55</v>
      </c>
      <c r="F103" s="82">
        <f>SUM(F101:F102)</f>
        <v>3120563.3000000003</v>
      </c>
      <c r="G103" s="111"/>
      <c r="H103" s="111">
        <f>SUM(H101:H102)</f>
        <v>0</v>
      </c>
      <c r="I103" s="111"/>
      <c r="J103" s="82">
        <f>SUM(J101:J102)</f>
        <v>2011330.36</v>
      </c>
      <c r="K103" s="111"/>
      <c r="L103" s="111">
        <f>SUM(L101:L102)</f>
        <v>0</v>
      </c>
      <c r="O103" s="72" t="e">
        <f>SUM(#REF!)</f>
        <v>#REF!</v>
      </c>
    </row>
    <row r="104" spans="2:15" ht="22.5" customHeight="1">
      <c r="B104" s="115" t="s">
        <v>883</v>
      </c>
      <c r="F104" s="82">
        <f>กระดาษทำการงบทดลองเครื่อง!T36</f>
        <v>918283</v>
      </c>
      <c r="G104" s="111"/>
      <c r="H104" s="111">
        <v>0</v>
      </c>
      <c r="I104" s="111"/>
      <c r="J104" s="82">
        <v>0</v>
      </c>
      <c r="K104" s="111"/>
      <c r="L104" s="111">
        <v>0</v>
      </c>
      <c r="O104" s="72" t="e">
        <f>F102-O103</f>
        <v>#REF!</v>
      </c>
    </row>
    <row r="105" spans="2:12" ht="22.5" customHeight="1" thickBot="1">
      <c r="B105" s="73" t="s">
        <v>82</v>
      </c>
      <c r="E105" s="73"/>
      <c r="F105" s="85">
        <f>F103-F104</f>
        <v>2202280.3000000003</v>
      </c>
      <c r="G105" s="111"/>
      <c r="H105" s="85">
        <f>H103-H104</f>
        <v>0</v>
      </c>
      <c r="I105" s="111"/>
      <c r="J105" s="85">
        <f>J103-J104</f>
        <v>2011330.36</v>
      </c>
      <c r="K105" s="111"/>
      <c r="L105" s="85">
        <f>L103-L104</f>
        <v>0</v>
      </c>
    </row>
    <row r="106" spans="5:12" ht="21" customHeight="1" thickTop="1">
      <c r="E106" s="73"/>
      <c r="I106" s="84"/>
      <c r="J106" s="84"/>
      <c r="K106" s="84"/>
      <c r="L106" s="84"/>
    </row>
    <row r="107" spans="4:12" ht="22.5" customHeight="1">
      <c r="D107" s="70" t="s">
        <v>842</v>
      </c>
      <c r="E107" s="73"/>
      <c r="I107" s="84"/>
      <c r="J107" s="84"/>
      <c r="K107" s="84"/>
      <c r="L107" s="84"/>
    </row>
    <row r="108" spans="5:12" ht="22.5" customHeight="1">
      <c r="E108" s="73"/>
      <c r="I108" s="84"/>
      <c r="J108" s="84"/>
      <c r="K108" s="84"/>
      <c r="L108" s="84"/>
    </row>
    <row r="109" spans="1:3" ht="22.5" customHeight="1">
      <c r="A109" s="73" t="s">
        <v>885</v>
      </c>
      <c r="C109" s="73"/>
    </row>
    <row r="110" spans="1:12" ht="22.5" customHeight="1">
      <c r="A110" s="73"/>
      <c r="C110" s="73"/>
      <c r="J110" s="80" t="s">
        <v>730</v>
      </c>
      <c r="L110" s="80" t="s">
        <v>444</v>
      </c>
    </row>
    <row r="111" spans="10:12" ht="22.5" customHeight="1">
      <c r="J111" s="80" t="s">
        <v>9</v>
      </c>
      <c r="L111" s="80" t="s">
        <v>9</v>
      </c>
    </row>
    <row r="112" spans="2:16" ht="22.5" customHeight="1">
      <c r="B112" s="70" t="s">
        <v>56</v>
      </c>
      <c r="J112" s="82">
        <v>9888738.41</v>
      </c>
      <c r="K112" s="111"/>
      <c r="L112" s="82">
        <v>8863358.94</v>
      </c>
      <c r="O112" s="72" t="e">
        <f>#REF!</f>
        <v>#REF!</v>
      </c>
      <c r="P112" s="72" t="e">
        <f>J112-O112</f>
        <v>#REF!</v>
      </c>
    </row>
    <row r="113" spans="2:16" ht="22.5" customHeight="1">
      <c r="B113" s="115" t="s">
        <v>883</v>
      </c>
      <c r="J113" s="82">
        <v>1164761.4</v>
      </c>
      <c r="K113" s="111"/>
      <c r="L113" s="82">
        <v>603049.56</v>
      </c>
      <c r="O113" s="72" t="e">
        <f>#REF!</f>
        <v>#REF!</v>
      </c>
      <c r="P113" s="72" t="e">
        <f>J113-O113</f>
        <v>#REF!</v>
      </c>
    </row>
    <row r="114" spans="2:16" s="73" customFormat="1" ht="22.5" customHeight="1" thickBot="1">
      <c r="B114" s="73" t="s">
        <v>11</v>
      </c>
      <c r="J114" s="85">
        <f>J112-J113</f>
        <v>8723977.01</v>
      </c>
      <c r="K114" s="122"/>
      <c r="L114" s="85">
        <f>SUM(L112-L113)</f>
        <v>8260309.379999999</v>
      </c>
      <c r="O114" s="123"/>
      <c r="P114" s="123"/>
    </row>
    <row r="115" spans="10:16" s="73" customFormat="1" ht="21.75" thickTop="1">
      <c r="J115" s="86"/>
      <c r="K115" s="122"/>
      <c r="L115" s="86"/>
      <c r="O115" s="123"/>
      <c r="P115" s="123"/>
    </row>
    <row r="116" spans="10:16" s="73" customFormat="1" ht="21">
      <c r="J116" s="86"/>
      <c r="K116" s="122"/>
      <c r="L116" s="86"/>
      <c r="O116" s="123"/>
      <c r="P116" s="123"/>
    </row>
    <row r="117" spans="1:12" ht="21">
      <c r="A117" s="335" t="s">
        <v>369</v>
      </c>
      <c r="B117" s="335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</row>
    <row r="118" spans="1:12" ht="2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1:16" s="73" customFormat="1" ht="22.5" customHeight="1">
      <c r="A119" s="73" t="s">
        <v>886</v>
      </c>
      <c r="J119" s="80" t="s">
        <v>730</v>
      </c>
      <c r="K119" s="124"/>
      <c r="L119" s="80" t="s">
        <v>444</v>
      </c>
      <c r="O119" s="123"/>
      <c r="P119" s="123"/>
    </row>
    <row r="120" spans="10:16" s="73" customFormat="1" ht="22.5" customHeight="1">
      <c r="J120" s="80" t="s">
        <v>9</v>
      </c>
      <c r="K120" s="124"/>
      <c r="L120" s="80" t="s">
        <v>9</v>
      </c>
      <c r="O120" s="123"/>
      <c r="P120" s="123"/>
    </row>
    <row r="121" spans="2:16" s="73" customFormat="1" ht="22.5" customHeight="1">
      <c r="B121" s="70" t="s">
        <v>420</v>
      </c>
      <c r="J121" s="112">
        <f>1803357.3</f>
        <v>1803357.3</v>
      </c>
      <c r="K121" s="122"/>
      <c r="L121" s="112">
        <v>1310909.7</v>
      </c>
      <c r="O121" s="123"/>
      <c r="P121" s="123"/>
    </row>
    <row r="122" spans="2:16" s="73" customFormat="1" ht="22.5" customHeight="1">
      <c r="B122" s="70" t="s">
        <v>854</v>
      </c>
      <c r="J122" s="121">
        <v>17940</v>
      </c>
      <c r="K122" s="122"/>
      <c r="L122" s="112">
        <v>0</v>
      </c>
      <c r="O122" s="123"/>
      <c r="P122" s="123"/>
    </row>
    <row r="123" spans="5:16" s="73" customFormat="1" ht="22.5" customHeight="1">
      <c r="E123" s="73" t="s">
        <v>1</v>
      </c>
      <c r="H123" s="125"/>
      <c r="J123" s="126">
        <f>SUM(J121+J122)</f>
        <v>1821297.3</v>
      </c>
      <c r="K123" s="122"/>
      <c r="L123" s="126">
        <v>1310909.7</v>
      </c>
      <c r="O123" s="123"/>
      <c r="P123" s="123"/>
    </row>
    <row r="124" spans="8:16" s="73" customFormat="1" ht="18" customHeight="1">
      <c r="H124" s="125"/>
      <c r="J124" s="127"/>
      <c r="K124" s="124"/>
      <c r="L124" s="127"/>
      <c r="O124" s="123"/>
      <c r="P124" s="123"/>
    </row>
    <row r="125" spans="3:16" s="73" customFormat="1" ht="22.5" customHeight="1">
      <c r="C125" s="70" t="s">
        <v>818</v>
      </c>
      <c r="H125" s="125"/>
      <c r="J125" s="128"/>
      <c r="K125" s="124"/>
      <c r="L125" s="128"/>
      <c r="O125" s="123">
        <f>788.76+270.29+91.82+41.76+444.49</f>
        <v>1637.12</v>
      </c>
      <c r="P125" s="123"/>
    </row>
    <row r="126" spans="1:16" s="73" customFormat="1" ht="22.5" customHeight="1">
      <c r="A126" s="70" t="s">
        <v>834</v>
      </c>
      <c r="B126" s="70"/>
      <c r="C126" s="70"/>
      <c r="D126" s="70"/>
      <c r="H126" s="125"/>
      <c r="J126" s="128"/>
      <c r="K126" s="124"/>
      <c r="L126" s="128"/>
      <c r="O126" s="123">
        <f>20474.17+7368.58+2309.23+1177.21+11120.79</f>
        <v>42449.979999999996</v>
      </c>
      <c r="P126" s="123"/>
    </row>
    <row r="127" spans="1:12" ht="22.5" customHeight="1">
      <c r="A127" s="129"/>
      <c r="B127" s="129"/>
      <c r="C127" s="70" t="s">
        <v>925</v>
      </c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1:12" ht="22.5" customHeight="1">
      <c r="A128" s="70" t="s">
        <v>926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1:12" ht="22.5" customHeight="1">
      <c r="A129" s="70" t="s">
        <v>927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2:12" ht="22.5" customHeight="1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1:3" ht="22.5" customHeight="1">
      <c r="A131" s="73" t="s">
        <v>887</v>
      </c>
      <c r="C131" s="73"/>
    </row>
    <row r="132" spans="1:12" ht="22.5" customHeight="1">
      <c r="A132" s="73"/>
      <c r="C132" s="73"/>
      <c r="J132" s="80" t="s">
        <v>730</v>
      </c>
      <c r="L132" s="80" t="s">
        <v>444</v>
      </c>
    </row>
    <row r="133" spans="10:12" ht="22.5" customHeight="1">
      <c r="J133" s="80" t="s">
        <v>9</v>
      </c>
      <c r="L133" s="80" t="s">
        <v>9</v>
      </c>
    </row>
    <row r="134" spans="2:16" ht="22.5" customHeight="1">
      <c r="B134" s="70" t="s">
        <v>63</v>
      </c>
      <c r="I134" s="72"/>
      <c r="J134" s="82">
        <f>กระดาษทำการงบทดลองเครื่อง!S55</f>
        <v>496882.91</v>
      </c>
      <c r="K134" s="82"/>
      <c r="L134" s="82">
        <v>700724</v>
      </c>
      <c r="O134" s="72" t="e">
        <f>#REF!</f>
        <v>#REF!</v>
      </c>
      <c r="P134" s="72" t="e">
        <f>J134-O134</f>
        <v>#REF!</v>
      </c>
    </row>
    <row r="135" spans="2:16" ht="22.5" customHeight="1">
      <c r="B135" s="115" t="s">
        <v>883</v>
      </c>
      <c r="I135" s="72"/>
      <c r="J135" s="116">
        <f>กระดาษทำการงบทดลองเครื่อง!T56</f>
        <v>496882.91</v>
      </c>
      <c r="K135" s="82"/>
      <c r="L135" s="116">
        <v>700724</v>
      </c>
      <c r="O135" s="72" t="e">
        <f>#REF!</f>
        <v>#REF!</v>
      </c>
      <c r="P135" s="72" t="e">
        <f>J135-O135</f>
        <v>#REF!</v>
      </c>
    </row>
    <row r="136" spans="2:12" ht="22.5" customHeight="1">
      <c r="B136" s="70" t="s">
        <v>139</v>
      </c>
      <c r="I136" s="72"/>
      <c r="J136" s="113">
        <f>J134-J135</f>
        <v>0</v>
      </c>
      <c r="K136" s="82"/>
      <c r="L136" s="113">
        <f>L134-L135</f>
        <v>0</v>
      </c>
    </row>
    <row r="137" spans="2:16" ht="22.5" customHeight="1">
      <c r="B137" s="70" t="s">
        <v>126</v>
      </c>
      <c r="I137" s="72"/>
      <c r="J137" s="82">
        <f>กระดาษทำการงบทดลองเครื่อง!S57</f>
        <v>736736.99</v>
      </c>
      <c r="K137" s="82"/>
      <c r="L137" s="82">
        <v>0</v>
      </c>
      <c r="O137" s="72" t="e">
        <f>#REF!</f>
        <v>#REF!</v>
      </c>
      <c r="P137" s="72" t="e">
        <f>J137-O137</f>
        <v>#REF!</v>
      </c>
    </row>
    <row r="138" spans="2:16" ht="22.5" customHeight="1">
      <c r="B138" s="115" t="s">
        <v>883</v>
      </c>
      <c r="I138" s="72"/>
      <c r="J138" s="82">
        <f>กระดาษทำการงบทดลองเครื่อง!T58</f>
        <v>736736.99</v>
      </c>
      <c r="K138" s="82"/>
      <c r="L138" s="116">
        <v>0</v>
      </c>
      <c r="O138" s="72" t="e">
        <f>#REF!</f>
        <v>#REF!</v>
      </c>
      <c r="P138" s="72" t="e">
        <f>J138-O138</f>
        <v>#REF!</v>
      </c>
    </row>
    <row r="139" spans="2:12" ht="22.5" customHeight="1">
      <c r="B139" s="70" t="s">
        <v>127</v>
      </c>
      <c r="I139" s="72"/>
      <c r="J139" s="113">
        <f>J137-J138</f>
        <v>0</v>
      </c>
      <c r="K139" s="82"/>
      <c r="L139" s="113">
        <f>L137-L138</f>
        <v>0</v>
      </c>
    </row>
    <row r="140" spans="2:16" ht="22.5" customHeight="1">
      <c r="B140" s="70" t="s">
        <v>5</v>
      </c>
      <c r="C140" s="87"/>
      <c r="J140" s="82">
        <f>กระดาษทำการงบทดลองเครื่อง!S50</f>
        <v>123305.02</v>
      </c>
      <c r="K140" s="111"/>
      <c r="L140" s="82">
        <v>75065.17</v>
      </c>
      <c r="O140" s="72" t="e">
        <f>#REF!</f>
        <v>#REF!</v>
      </c>
      <c r="P140" s="72" t="e">
        <f>J140-O140</f>
        <v>#REF!</v>
      </c>
    </row>
    <row r="141" spans="2:12" ht="22.5" customHeight="1">
      <c r="B141" s="70" t="s">
        <v>115</v>
      </c>
      <c r="C141" s="87"/>
      <c r="J141" s="82">
        <f>กระดาษทำการงบทดลองเครื่อง!S67</f>
        <v>23480.22</v>
      </c>
      <c r="K141" s="111"/>
      <c r="L141" s="83">
        <v>25713.41</v>
      </c>
    </row>
    <row r="142" spans="2:12" ht="22.5" customHeight="1">
      <c r="B142" s="70" t="s">
        <v>423</v>
      </c>
      <c r="C142" s="87"/>
      <c r="J142" s="82">
        <v>11936.32</v>
      </c>
      <c r="K142" s="111"/>
      <c r="L142" s="83">
        <v>6107.89</v>
      </c>
    </row>
    <row r="143" spans="2:12" ht="22.5" customHeight="1">
      <c r="B143" s="70" t="s">
        <v>664</v>
      </c>
      <c r="C143" s="87"/>
      <c r="J143" s="82">
        <v>0</v>
      </c>
      <c r="K143" s="111"/>
      <c r="L143" s="83">
        <v>480.3</v>
      </c>
    </row>
    <row r="144" spans="2:12" ht="22.5" customHeight="1" thickBot="1">
      <c r="B144" s="87"/>
      <c r="C144" s="87"/>
      <c r="E144" s="73" t="s">
        <v>1</v>
      </c>
      <c r="J144" s="85">
        <f>SUM(J136,J139:J143)</f>
        <v>158721.56</v>
      </c>
      <c r="K144" s="111"/>
      <c r="L144" s="85">
        <f>SUM(L140:L143)</f>
        <v>107366.77</v>
      </c>
    </row>
    <row r="145" spans="1:12" ht="22.5" customHeight="1" thickTop="1">
      <c r="A145" s="334" t="s">
        <v>928</v>
      </c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</row>
    <row r="146" spans="1:12" ht="22.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</row>
    <row r="147" spans="1:3" ht="22.5" customHeight="1">
      <c r="A147" s="73" t="s">
        <v>888</v>
      </c>
      <c r="C147" s="73"/>
    </row>
    <row r="148" spans="1:12" ht="22.5" customHeight="1">
      <c r="A148" s="73"/>
      <c r="C148" s="73"/>
      <c r="J148" s="80" t="s">
        <v>730</v>
      </c>
      <c r="L148" s="80" t="s">
        <v>444</v>
      </c>
    </row>
    <row r="149" spans="10:12" ht="22.5" customHeight="1">
      <c r="J149" s="80" t="s">
        <v>9</v>
      </c>
      <c r="L149" s="80" t="s">
        <v>9</v>
      </c>
    </row>
    <row r="150" spans="2:16" ht="22.5" customHeight="1">
      <c r="B150" s="70" t="s">
        <v>3</v>
      </c>
      <c r="J150" s="82">
        <f>กระดาษทำการงบทดลองเครื่อง!S73</f>
        <v>8202755</v>
      </c>
      <c r="K150" s="111"/>
      <c r="L150" s="82">
        <v>8202755</v>
      </c>
      <c r="O150" s="72" t="e">
        <f>#REF!</f>
        <v>#REF!</v>
      </c>
      <c r="P150" s="72" t="e">
        <f>J150-O150</f>
        <v>#REF!</v>
      </c>
    </row>
    <row r="151" spans="2:16" ht="22.5" customHeight="1">
      <c r="B151" s="70" t="s">
        <v>95</v>
      </c>
      <c r="J151" s="82">
        <f>กระดาษทำการงบทดลองเครื่อง!S74</f>
        <v>8337819.28</v>
      </c>
      <c r="K151" s="111"/>
      <c r="L151" s="82">
        <v>9022333.88</v>
      </c>
      <c r="O151" s="72" t="e">
        <f>#REF!</f>
        <v>#REF!</v>
      </c>
      <c r="P151" s="72" t="e">
        <f>J151-O151</f>
        <v>#REF!</v>
      </c>
    </row>
    <row r="152" spans="2:16" ht="22.5" customHeight="1">
      <c r="B152" s="70" t="s">
        <v>4</v>
      </c>
      <c r="J152" s="82">
        <v>1997336.89</v>
      </c>
      <c r="K152" s="111"/>
      <c r="L152" s="82">
        <v>2532136.89</v>
      </c>
      <c r="O152" s="72" t="e">
        <f>#REF!</f>
        <v>#REF!</v>
      </c>
      <c r="P152" s="72" t="e">
        <f>J152-O152</f>
        <v>#REF!</v>
      </c>
    </row>
    <row r="153" spans="2:16" ht="22.5" customHeight="1">
      <c r="B153" s="70" t="s">
        <v>141</v>
      </c>
      <c r="J153" s="116">
        <v>354287.12</v>
      </c>
      <c r="K153" s="111"/>
      <c r="L153" s="116">
        <v>748218.79</v>
      </c>
      <c r="O153" s="72" t="e">
        <f>#REF!</f>
        <v>#REF!</v>
      </c>
      <c r="P153" s="72" t="e">
        <f>J153-O153</f>
        <v>#REF!</v>
      </c>
    </row>
    <row r="154" spans="5:12" ht="22.5" customHeight="1">
      <c r="E154" s="70" t="s">
        <v>1</v>
      </c>
      <c r="J154" s="130">
        <f>SUM(J150:J153)</f>
        <v>18892198.290000003</v>
      </c>
      <c r="K154" s="111"/>
      <c r="L154" s="130">
        <f>SUM(L150:L153)</f>
        <v>20505444.560000002</v>
      </c>
    </row>
    <row r="155" spans="2:12" ht="22.5" customHeight="1">
      <c r="B155" s="70" t="s">
        <v>500</v>
      </c>
      <c r="J155" s="82">
        <v>2612853</v>
      </c>
      <c r="K155" s="111"/>
      <c r="L155" s="82">
        <v>0</v>
      </c>
    </row>
    <row r="156" spans="2:12" ht="22.5" customHeight="1">
      <c r="B156" s="70" t="s">
        <v>141</v>
      </c>
      <c r="J156" s="116">
        <v>633958</v>
      </c>
      <c r="K156" s="111"/>
      <c r="L156" s="116">
        <v>56140</v>
      </c>
    </row>
    <row r="157" spans="2:12" ht="22.5" customHeight="1">
      <c r="B157" s="115" t="s">
        <v>77</v>
      </c>
      <c r="C157" s="70" t="s">
        <v>685</v>
      </c>
      <c r="J157" s="116">
        <f>กระดาษทำการงบทดลองเครื่อง!T72</f>
        <v>137812.51</v>
      </c>
      <c r="K157" s="111"/>
      <c r="L157" s="116">
        <v>7073.66</v>
      </c>
    </row>
    <row r="158" spans="2:12" ht="22.5" customHeight="1">
      <c r="B158" s="70" t="s">
        <v>720</v>
      </c>
      <c r="J158" s="82">
        <v>3108998.49</v>
      </c>
      <c r="K158" s="111"/>
      <c r="L158" s="82">
        <v>49066.34</v>
      </c>
    </row>
    <row r="159" spans="2:12" ht="22.5" customHeight="1" thickBot="1">
      <c r="B159" s="73" t="s">
        <v>16</v>
      </c>
      <c r="E159" s="73"/>
      <c r="J159" s="85">
        <f>+J154+J158</f>
        <v>22001196.78</v>
      </c>
      <c r="K159" s="111"/>
      <c r="L159" s="85">
        <f>+L154+L158</f>
        <v>20554510.900000002</v>
      </c>
    </row>
    <row r="160" spans="1:11" ht="22.5" customHeight="1" thickTop="1">
      <c r="A160" s="68"/>
      <c r="B160" s="68"/>
      <c r="C160" s="68"/>
      <c r="D160" s="68"/>
      <c r="E160" s="68"/>
      <c r="F160" s="68"/>
      <c r="G160" s="68"/>
      <c r="H160" s="68"/>
      <c r="I160" s="68"/>
      <c r="K160" s="106"/>
    </row>
    <row r="161" spans="3:12" ht="22.5" customHeight="1">
      <c r="C161" s="70" t="s">
        <v>721</v>
      </c>
      <c r="L161" s="79"/>
    </row>
    <row r="162" spans="2:12" ht="22.5" customHeight="1">
      <c r="B162" s="70" t="s">
        <v>722</v>
      </c>
      <c r="L162" s="79"/>
    </row>
    <row r="163" spans="2:12" ht="22.5" customHeight="1">
      <c r="B163" s="70" t="s">
        <v>723</v>
      </c>
      <c r="L163" s="79"/>
    </row>
    <row r="164" spans="3:12" ht="22.5" customHeight="1">
      <c r="C164" s="70" t="s">
        <v>865</v>
      </c>
      <c r="E164" s="73"/>
      <c r="J164" s="127"/>
      <c r="K164" s="109"/>
      <c r="L164" s="127"/>
    </row>
    <row r="165" spans="2:12" ht="22.5" customHeight="1">
      <c r="B165" s="70" t="s">
        <v>866</v>
      </c>
      <c r="L165" s="79"/>
    </row>
    <row r="166" spans="3:12" ht="22.5" customHeight="1">
      <c r="C166" s="70" t="s">
        <v>697</v>
      </c>
      <c r="L166" s="79"/>
    </row>
    <row r="167" spans="2:16" ht="22.5" customHeight="1">
      <c r="B167" s="70" t="s">
        <v>698</v>
      </c>
      <c r="L167" s="79"/>
      <c r="O167" s="70"/>
      <c r="P167" s="70"/>
    </row>
    <row r="168" spans="2:16" ht="22.5" customHeight="1">
      <c r="B168" s="70" t="s">
        <v>700</v>
      </c>
      <c r="L168" s="79"/>
      <c r="O168" s="70"/>
      <c r="P168" s="70"/>
    </row>
    <row r="169" spans="2:16" ht="22.5" customHeight="1">
      <c r="B169" s="70" t="s">
        <v>699</v>
      </c>
      <c r="L169" s="79"/>
      <c r="O169" s="70"/>
      <c r="P169" s="70"/>
    </row>
    <row r="170" spans="3:16" ht="22.5" customHeight="1">
      <c r="C170" s="70" t="s">
        <v>142</v>
      </c>
      <c r="L170" s="107"/>
      <c r="O170" s="70"/>
      <c r="P170" s="70"/>
    </row>
    <row r="171" spans="2:16" ht="22.5" customHeight="1">
      <c r="B171" s="70" t="s">
        <v>143</v>
      </c>
      <c r="L171" s="107"/>
      <c r="O171" s="70"/>
      <c r="P171" s="70"/>
    </row>
    <row r="172" spans="1:16" ht="22.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O172" s="70"/>
      <c r="P172" s="70"/>
    </row>
    <row r="173" spans="1:16" ht="22.5" customHeight="1">
      <c r="A173" s="73" t="s">
        <v>889</v>
      </c>
      <c r="J173" s="80" t="s">
        <v>730</v>
      </c>
      <c r="L173" s="80" t="s">
        <v>444</v>
      </c>
      <c r="O173" s="70"/>
      <c r="P173" s="70"/>
    </row>
    <row r="174" spans="10:16" ht="22.5" customHeight="1">
      <c r="J174" s="80" t="s">
        <v>9</v>
      </c>
      <c r="L174" s="80" t="s">
        <v>9</v>
      </c>
      <c r="O174" s="70"/>
      <c r="P174" s="70"/>
    </row>
    <row r="175" spans="2:16" ht="22.5" customHeight="1">
      <c r="B175" s="70" t="s">
        <v>421</v>
      </c>
      <c r="J175" s="111">
        <v>36128.88</v>
      </c>
      <c r="K175" s="111"/>
      <c r="L175" s="131">
        <v>52000</v>
      </c>
      <c r="O175" s="70"/>
      <c r="P175" s="70"/>
    </row>
    <row r="176" spans="2:16" ht="22.5" customHeight="1">
      <c r="B176" s="70" t="s">
        <v>435</v>
      </c>
      <c r="J176" s="111">
        <v>64000</v>
      </c>
      <c r="K176" s="111"/>
      <c r="L176" s="131">
        <v>54193.32</v>
      </c>
      <c r="O176" s="70"/>
      <c r="P176" s="70"/>
    </row>
    <row r="177" spans="5:16" ht="22.5" customHeight="1" thickBot="1">
      <c r="E177" s="73" t="s">
        <v>1</v>
      </c>
      <c r="J177" s="132">
        <f>SUM(J175:J176)</f>
        <v>100128.88</v>
      </c>
      <c r="K177" s="111"/>
      <c r="L177" s="133">
        <f>SUM(L175:L176)</f>
        <v>106193.32</v>
      </c>
      <c r="O177" s="70"/>
      <c r="P177" s="70"/>
    </row>
    <row r="178" spans="1:11" ht="15.75" customHeight="1" thickTop="1">
      <c r="A178" s="68"/>
      <c r="B178" s="68"/>
      <c r="C178" s="68"/>
      <c r="D178" s="68"/>
      <c r="E178" s="68"/>
      <c r="F178" s="68"/>
      <c r="G178" s="68"/>
      <c r="H178" s="68"/>
      <c r="I178" s="68"/>
      <c r="K178" s="106"/>
    </row>
    <row r="179" spans="1:11" ht="15.75" customHeight="1">
      <c r="A179" s="68"/>
      <c r="B179" s="68"/>
      <c r="C179" s="68"/>
      <c r="D179" s="68"/>
      <c r="E179" s="68"/>
      <c r="F179" s="68"/>
      <c r="G179" s="68"/>
      <c r="H179" s="68"/>
      <c r="I179" s="68"/>
      <c r="K179" s="106"/>
    </row>
    <row r="180" spans="1:11" ht="15.75" customHeight="1">
      <c r="A180" s="68"/>
      <c r="B180" s="68"/>
      <c r="C180" s="68"/>
      <c r="D180" s="68"/>
      <c r="E180" s="68"/>
      <c r="F180" s="68"/>
      <c r="G180" s="68"/>
      <c r="H180" s="68"/>
      <c r="I180" s="68"/>
      <c r="K180" s="106"/>
    </row>
    <row r="181" spans="1:11" ht="15.75" customHeight="1">
      <c r="A181" s="68"/>
      <c r="B181" s="68"/>
      <c r="C181" s="68"/>
      <c r="D181" s="68"/>
      <c r="E181" s="68"/>
      <c r="F181" s="68"/>
      <c r="G181" s="68"/>
      <c r="H181" s="68"/>
      <c r="I181" s="68"/>
      <c r="K181" s="106"/>
    </row>
    <row r="182" spans="1:11" ht="15.75" customHeight="1">
      <c r="A182" s="68"/>
      <c r="B182" s="68"/>
      <c r="C182" s="68"/>
      <c r="D182" s="68"/>
      <c r="E182" s="68"/>
      <c r="F182" s="68"/>
      <c r="G182" s="68"/>
      <c r="H182" s="68"/>
      <c r="I182" s="68"/>
      <c r="K182" s="106"/>
    </row>
    <row r="183" spans="1:11" ht="15.75" customHeight="1">
      <c r="A183" s="68"/>
      <c r="B183" s="68"/>
      <c r="C183" s="68"/>
      <c r="D183" s="68"/>
      <c r="E183" s="68"/>
      <c r="F183" s="68"/>
      <c r="G183" s="68"/>
      <c r="H183" s="68"/>
      <c r="I183" s="68"/>
      <c r="K183" s="106"/>
    </row>
    <row r="184" spans="1:11" ht="15.75" customHeight="1">
      <c r="A184" s="68"/>
      <c r="B184" s="68"/>
      <c r="C184" s="68"/>
      <c r="D184" s="68"/>
      <c r="E184" s="68"/>
      <c r="F184" s="68"/>
      <c r="G184" s="68"/>
      <c r="H184" s="68"/>
      <c r="I184" s="68"/>
      <c r="K184" s="106"/>
    </row>
    <row r="185" spans="1:11" ht="15.75" customHeight="1">
      <c r="A185" s="68"/>
      <c r="B185" s="68"/>
      <c r="C185" s="68"/>
      <c r="D185" s="68"/>
      <c r="E185" s="68"/>
      <c r="F185" s="68"/>
      <c r="G185" s="68"/>
      <c r="H185" s="68"/>
      <c r="I185" s="68"/>
      <c r="K185" s="106"/>
    </row>
    <row r="186" spans="1:12" ht="18.75" customHeight="1">
      <c r="A186" s="334" t="s">
        <v>929</v>
      </c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</row>
    <row r="187" spans="1:12" ht="18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1:16" ht="22.5" customHeight="1">
      <c r="A188" s="73" t="s">
        <v>890</v>
      </c>
      <c r="C188" s="73"/>
      <c r="E188" s="96"/>
      <c r="F188" s="134"/>
      <c r="G188" s="134"/>
      <c r="O188" s="70"/>
      <c r="P188" s="70"/>
    </row>
    <row r="189" spans="1:16" ht="22.5" customHeight="1">
      <c r="A189" s="73"/>
      <c r="C189" s="73"/>
      <c r="E189" s="96"/>
      <c r="F189" s="134"/>
      <c r="G189" s="134"/>
      <c r="J189" s="80" t="s">
        <v>730</v>
      </c>
      <c r="L189" s="80" t="s">
        <v>444</v>
      </c>
      <c r="O189" s="70"/>
      <c r="P189" s="70"/>
    </row>
    <row r="190" spans="10:12" ht="22.5" customHeight="1">
      <c r="J190" s="80" t="s">
        <v>9</v>
      </c>
      <c r="L190" s="80" t="s">
        <v>9</v>
      </c>
    </row>
    <row r="191" spans="2:12" ht="22.5" customHeight="1">
      <c r="B191" s="70" t="s">
        <v>144</v>
      </c>
      <c r="J191" s="131">
        <f>กระดาษทำการงบทดลองเครื่อง!T84+กระดาษทำการงบทดลองเครื่อง!T85+กระดาษทำการงบทดลองเครื่อง!T86</f>
        <v>221230711.63</v>
      </c>
      <c r="K191" s="131"/>
      <c r="L191" s="131">
        <v>199030889.07</v>
      </c>
    </row>
    <row r="192" spans="2:16" ht="22.5" customHeight="1">
      <c r="B192" s="70" t="s">
        <v>145</v>
      </c>
      <c r="J192" s="100">
        <f>กระดาษทำการงบทดลองเครื่อง!T87+กระดาษทำการงบทดลองเครื่อง!T89+กระดาษทำการงบทดลองเครื่อง!T90</f>
        <v>10500000</v>
      </c>
      <c r="K192" s="131"/>
      <c r="L192" s="100">
        <v>9470000</v>
      </c>
      <c r="O192" s="72" t="e">
        <f>#REF!</f>
        <v>#REF!</v>
      </c>
      <c r="P192" s="72" t="e">
        <f>J192-O192</f>
        <v>#REF!</v>
      </c>
    </row>
    <row r="193" spans="5:16" s="73" customFormat="1" ht="22.5" customHeight="1" thickBot="1">
      <c r="E193" s="73" t="s">
        <v>1</v>
      </c>
      <c r="J193" s="104">
        <f>SUM(J191:J192)</f>
        <v>231730711.63</v>
      </c>
      <c r="K193" s="135"/>
      <c r="L193" s="104">
        <f>SUM(L191:L192)</f>
        <v>208500889.07</v>
      </c>
      <c r="O193" s="123"/>
      <c r="P193" s="123"/>
    </row>
    <row r="194" spans="1:11" ht="21" customHeight="1" thickTop="1">
      <c r="A194" s="68"/>
      <c r="B194" s="68"/>
      <c r="C194" s="68"/>
      <c r="D194" s="68"/>
      <c r="E194" s="68"/>
      <c r="F194" s="68"/>
      <c r="G194" s="68"/>
      <c r="H194" s="68"/>
      <c r="I194" s="68"/>
      <c r="K194" s="106"/>
    </row>
    <row r="195" spans="4:12" ht="22.5" customHeight="1">
      <c r="D195" s="70" t="s">
        <v>901</v>
      </c>
      <c r="I195" s="136"/>
      <c r="J195" s="136"/>
      <c r="K195" s="136"/>
      <c r="L195" s="136"/>
    </row>
    <row r="196" spans="2:12" ht="22.5" customHeight="1">
      <c r="B196" s="70" t="s">
        <v>902</v>
      </c>
      <c r="I196" s="136"/>
      <c r="J196" s="136"/>
      <c r="K196" s="136"/>
      <c r="L196" s="136"/>
    </row>
    <row r="197" ht="22.5" customHeight="1">
      <c r="B197" s="70" t="s">
        <v>903</v>
      </c>
    </row>
    <row r="198" ht="22.5" customHeight="1">
      <c r="B198" s="70" t="s">
        <v>904</v>
      </c>
    </row>
    <row r="199" spans="4:12" ht="22.5" customHeight="1">
      <c r="D199" s="70" t="s">
        <v>906</v>
      </c>
      <c r="L199" s="70" t="s">
        <v>907</v>
      </c>
    </row>
    <row r="200" ht="22.5" customHeight="1">
      <c r="B200" s="70" t="s">
        <v>905</v>
      </c>
    </row>
    <row r="201" ht="22.5" customHeight="1">
      <c r="B201" s="70" t="s">
        <v>908</v>
      </c>
    </row>
    <row r="202" ht="22.5" customHeight="1">
      <c r="B202" s="70" t="s">
        <v>909</v>
      </c>
    </row>
    <row r="203" ht="22.5" customHeight="1">
      <c r="B203" s="70" t="s">
        <v>910</v>
      </c>
    </row>
    <row r="204" spans="1:11" ht="22.5" customHeight="1">
      <c r="A204" s="68"/>
      <c r="B204" s="149" t="s">
        <v>911</v>
      </c>
      <c r="C204" s="68"/>
      <c r="D204" s="68"/>
      <c r="E204" s="68"/>
      <c r="F204" s="68"/>
      <c r="G204" s="68"/>
      <c r="H204" s="68"/>
      <c r="I204" s="68"/>
      <c r="K204" s="106"/>
    </row>
    <row r="205" spans="1:11" ht="22.5" customHeight="1">
      <c r="A205" s="68"/>
      <c r="B205" s="149"/>
      <c r="C205" s="68"/>
      <c r="D205" s="68"/>
      <c r="E205" s="68"/>
      <c r="F205" s="68"/>
      <c r="G205" s="68"/>
      <c r="H205" s="68"/>
      <c r="I205" s="68"/>
      <c r="K205" s="106"/>
    </row>
    <row r="206" spans="1:3" ht="22.5" customHeight="1">
      <c r="A206" s="73" t="s">
        <v>891</v>
      </c>
      <c r="C206" s="73"/>
    </row>
    <row r="207" spans="1:12" ht="22.5" customHeight="1">
      <c r="A207" s="73"/>
      <c r="C207" s="73"/>
      <c r="J207" s="80" t="s">
        <v>730</v>
      </c>
      <c r="L207" s="80" t="s">
        <v>444</v>
      </c>
    </row>
    <row r="208" spans="10:12" ht="22.5" customHeight="1">
      <c r="J208" s="80" t="s">
        <v>9</v>
      </c>
      <c r="L208" s="80" t="s">
        <v>9</v>
      </c>
    </row>
    <row r="209" spans="1:12" ht="22.5" customHeight="1">
      <c r="A209" s="70" t="s">
        <v>370</v>
      </c>
      <c r="J209" s="80"/>
      <c r="L209" s="80"/>
    </row>
    <row r="210" spans="2:16" ht="22.5" customHeight="1">
      <c r="B210" s="74" t="s">
        <v>86</v>
      </c>
      <c r="C210" s="70" t="s">
        <v>58</v>
      </c>
      <c r="J210" s="82">
        <f>กระดาษทำการงบทดลองเครื่อง!T92</f>
        <v>12075974.8</v>
      </c>
      <c r="K210" s="111"/>
      <c r="L210" s="82">
        <v>12851691.11</v>
      </c>
      <c r="O210" s="72" t="e">
        <f>#REF!</f>
        <v>#REF!</v>
      </c>
      <c r="P210" s="72" t="e">
        <f>J210-O210</f>
        <v>#REF!</v>
      </c>
    </row>
    <row r="211" spans="2:16" ht="22.5" customHeight="1">
      <c r="B211" s="74" t="s">
        <v>86</v>
      </c>
      <c r="C211" s="70" t="s">
        <v>687</v>
      </c>
      <c r="J211" s="82">
        <f>กระดาษทำการงบทดลองเครื่อง!T93-291486.13</f>
        <v>100086502.66000001</v>
      </c>
      <c r="K211" s="111"/>
      <c r="L211" s="82">
        <v>83166414.67</v>
      </c>
      <c r="O211" s="72" t="e">
        <f>#REF!</f>
        <v>#REF!</v>
      </c>
      <c r="P211" s="72" t="e">
        <f>J211-O211</f>
        <v>#REF!</v>
      </c>
    </row>
    <row r="212" spans="4:12" ht="22.5" customHeight="1">
      <c r="D212" s="70" t="s">
        <v>1</v>
      </c>
      <c r="J212" s="137">
        <f>SUM(J210:J211)</f>
        <v>112162477.46000001</v>
      </c>
      <c r="K212" s="111"/>
      <c r="L212" s="137">
        <f>SUM(L210:L211)</f>
        <v>96018105.78</v>
      </c>
    </row>
    <row r="213" spans="1:12" ht="22.5" customHeight="1">
      <c r="A213" s="70" t="s">
        <v>371</v>
      </c>
      <c r="C213" s="73"/>
      <c r="J213" s="111"/>
      <c r="K213" s="111"/>
      <c r="L213" s="111"/>
    </row>
    <row r="214" spans="2:16" ht="22.5" customHeight="1">
      <c r="B214" s="74" t="s">
        <v>86</v>
      </c>
      <c r="C214" s="70" t="s">
        <v>687</v>
      </c>
      <c r="J214" s="82">
        <v>291486.13</v>
      </c>
      <c r="K214" s="111"/>
      <c r="L214" s="82">
        <v>280167.37</v>
      </c>
      <c r="O214" s="72" t="e">
        <f>#REF!</f>
        <v>#REF!</v>
      </c>
      <c r="P214" s="72" t="e">
        <f>J214-O214</f>
        <v>#REF!</v>
      </c>
    </row>
    <row r="215" spans="4:12" ht="22.5" customHeight="1">
      <c r="D215" s="70" t="s">
        <v>1</v>
      </c>
      <c r="J215" s="137">
        <f>SUM(J214:J214)</f>
        <v>291486.13</v>
      </c>
      <c r="K215" s="111"/>
      <c r="L215" s="137">
        <f>SUM(L214:L214)</f>
        <v>280167.37</v>
      </c>
    </row>
    <row r="216" spans="1:12" ht="22.5" customHeight="1">
      <c r="A216" s="70" t="s">
        <v>688</v>
      </c>
      <c r="J216" s="138"/>
      <c r="K216" s="111"/>
      <c r="L216" s="138"/>
    </row>
    <row r="217" spans="2:15" ht="22.5" customHeight="1">
      <c r="B217" s="74" t="s">
        <v>86</v>
      </c>
      <c r="C217" s="70" t="s">
        <v>58</v>
      </c>
      <c r="J217" s="82">
        <v>0</v>
      </c>
      <c r="K217" s="111"/>
      <c r="L217" s="82">
        <v>530922.02</v>
      </c>
      <c r="O217" s="72">
        <f>+L212+L215+L219</f>
        <v>98931746.10000001</v>
      </c>
    </row>
    <row r="218" spans="2:12" ht="22.5" customHeight="1">
      <c r="B218" s="74" t="s">
        <v>86</v>
      </c>
      <c r="C218" s="70" t="s">
        <v>687</v>
      </c>
      <c r="J218" s="82">
        <v>0</v>
      </c>
      <c r="K218" s="111"/>
      <c r="L218" s="82">
        <v>2102550.93</v>
      </c>
    </row>
    <row r="219" spans="4:12" ht="22.5" customHeight="1">
      <c r="D219" s="70" t="s">
        <v>1</v>
      </c>
      <c r="J219" s="137">
        <f>SUM(J217:J218)</f>
        <v>0</v>
      </c>
      <c r="K219" s="111"/>
      <c r="L219" s="137">
        <f>SUM(L217:L218)</f>
        <v>2633472.95</v>
      </c>
    </row>
    <row r="220" spans="5:12" ht="22.5" customHeight="1" thickBot="1">
      <c r="E220" s="73" t="s">
        <v>372</v>
      </c>
      <c r="J220" s="85">
        <f>J212+J215+J219</f>
        <v>112453963.59</v>
      </c>
      <c r="K220" s="111"/>
      <c r="L220" s="139">
        <f>L212+L215+L219</f>
        <v>98931746.10000001</v>
      </c>
    </row>
    <row r="221" spans="1:16" ht="22.5" customHeight="1" thickTop="1">
      <c r="A221" s="335" t="s">
        <v>930</v>
      </c>
      <c r="B221" s="335"/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O221" s="70"/>
      <c r="P221" s="70"/>
    </row>
    <row r="222" spans="1:16" ht="22.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O222" s="70"/>
      <c r="P222" s="70"/>
    </row>
    <row r="223" spans="1:16" ht="22.5" customHeight="1">
      <c r="A223" s="73" t="s">
        <v>892</v>
      </c>
      <c r="C223" s="73"/>
      <c r="O223" s="70"/>
      <c r="P223" s="70"/>
    </row>
    <row r="224" spans="1:16" ht="22.5" customHeight="1">
      <c r="A224" s="73"/>
      <c r="C224" s="73"/>
      <c r="J224" s="80" t="s">
        <v>730</v>
      </c>
      <c r="L224" s="80" t="s">
        <v>444</v>
      </c>
      <c r="O224" s="70"/>
      <c r="P224" s="70"/>
    </row>
    <row r="225" spans="10:16" ht="22.5" customHeight="1">
      <c r="J225" s="80" t="s">
        <v>9</v>
      </c>
      <c r="L225" s="80" t="s">
        <v>9</v>
      </c>
      <c r="O225" s="70"/>
      <c r="P225" s="70"/>
    </row>
    <row r="226" spans="2:16" ht="22.5" customHeight="1">
      <c r="B226" s="70" t="s">
        <v>128</v>
      </c>
      <c r="J226" s="140">
        <f>กระดาษทำการงบทดลองเครื่อง!T117</f>
        <v>1070659.76</v>
      </c>
      <c r="K226" s="141"/>
      <c r="L226" s="140">
        <v>988181.79</v>
      </c>
      <c r="O226" s="70"/>
      <c r="P226" s="70"/>
    </row>
    <row r="227" spans="2:16" ht="22.5" customHeight="1">
      <c r="B227" s="70" t="s">
        <v>147</v>
      </c>
      <c r="J227" s="140">
        <f>กระดาษทำการงบทดลองเครื่อง!T120+กระดาษทำการงบทดลองเครื่อง!T121+กระดาษทำการงบทดลองเครื่อง!T122</f>
        <v>105252.13</v>
      </c>
      <c r="K227" s="141"/>
      <c r="L227" s="140">
        <v>87548.4</v>
      </c>
      <c r="O227" s="70"/>
      <c r="P227" s="70"/>
    </row>
    <row r="228" spans="2:16" ht="22.5" customHeight="1">
      <c r="B228" s="70" t="s">
        <v>129</v>
      </c>
      <c r="J228" s="140">
        <f>กระดาษทำการงบทดลองเครื่อง!T96+กระดาษทำการงบทดลองเครื่อง!T97+กระดาษทำการงบทดลองเครื่อง!T98+กระดาษทำการงบทดลองเครื่อง!T99</f>
        <v>134445.5</v>
      </c>
      <c r="K228" s="141"/>
      <c r="L228" s="140">
        <v>87781.51</v>
      </c>
      <c r="O228" s="70"/>
      <c r="P228" s="70"/>
    </row>
    <row r="229" spans="2:16" ht="22.5" customHeight="1">
      <c r="B229" s="70" t="s">
        <v>146</v>
      </c>
      <c r="J229" s="140">
        <f>กระดาษทำการงบทดลองเครื่อง!T113</f>
        <v>18112</v>
      </c>
      <c r="K229" s="141"/>
      <c r="L229" s="140">
        <v>17308</v>
      </c>
      <c r="O229" s="70"/>
      <c r="P229" s="70"/>
    </row>
    <row r="230" spans="2:16" ht="22.5" customHeight="1">
      <c r="B230" s="70" t="s">
        <v>140</v>
      </c>
      <c r="J230" s="140">
        <f>กระดาษทำการงบทดลองเครื่อง!T52+กระดาษทำการงบทดลองเครื่อง!T53+กระดาษทำการงบทดลองเครื่อง!T54</f>
        <v>72867.60999999999</v>
      </c>
      <c r="K230" s="141"/>
      <c r="L230" s="140">
        <v>102817.46</v>
      </c>
      <c r="O230" s="70"/>
      <c r="P230" s="70"/>
    </row>
    <row r="231" spans="2:16" ht="22.5" customHeight="1">
      <c r="B231" s="70" t="s">
        <v>876</v>
      </c>
      <c r="J231" s="140">
        <f>กระดาษทำการงบทดลองเครื่อง!T95</f>
        <v>44438.36</v>
      </c>
      <c r="K231" s="141"/>
      <c r="L231" s="140">
        <v>54822.19</v>
      </c>
      <c r="O231" s="70"/>
      <c r="P231" s="70"/>
    </row>
    <row r="232" spans="2:16" ht="22.5" customHeight="1">
      <c r="B232" s="70" t="s">
        <v>665</v>
      </c>
      <c r="J232" s="140">
        <v>0</v>
      </c>
      <c r="K232" s="141"/>
      <c r="L232" s="140">
        <v>6589.32</v>
      </c>
      <c r="O232" s="70"/>
      <c r="P232" s="70"/>
    </row>
    <row r="233" spans="2:16" ht="22.5" customHeight="1">
      <c r="B233" s="70" t="s">
        <v>848</v>
      </c>
      <c r="J233" s="140">
        <v>0</v>
      </c>
      <c r="K233" s="141"/>
      <c r="L233" s="140">
        <v>480.3</v>
      </c>
      <c r="O233" s="70"/>
      <c r="P233" s="70"/>
    </row>
    <row r="234" spans="2:12" ht="22.5" customHeight="1">
      <c r="B234" s="70" t="s">
        <v>411</v>
      </c>
      <c r="J234" s="140">
        <v>150</v>
      </c>
      <c r="K234" s="141"/>
      <c r="L234" s="140">
        <v>150</v>
      </c>
    </row>
    <row r="235" spans="5:12" ht="22.5" customHeight="1" thickBot="1">
      <c r="E235" s="73" t="s">
        <v>1</v>
      </c>
      <c r="J235" s="142">
        <f>SUM(J226:J234)</f>
        <v>1445925.36</v>
      </c>
      <c r="K235" s="141"/>
      <c r="L235" s="142">
        <f>SUM(L226:L234)</f>
        <v>1345678.97</v>
      </c>
    </row>
    <row r="236" spans="5:12" ht="22.5" customHeight="1" thickTop="1">
      <c r="E236" s="73"/>
      <c r="J236" s="143"/>
      <c r="K236" s="144"/>
      <c r="L236" s="143"/>
    </row>
    <row r="237" spans="1:3" ht="22.5" customHeight="1">
      <c r="A237" s="73" t="s">
        <v>893</v>
      </c>
      <c r="C237" s="73"/>
    </row>
    <row r="238" spans="1:12" ht="22.5" customHeight="1">
      <c r="A238" s="73"/>
      <c r="C238" s="73"/>
      <c r="J238" s="80" t="s">
        <v>730</v>
      </c>
      <c r="L238" s="80" t="s">
        <v>444</v>
      </c>
    </row>
    <row r="239" spans="10:12" ht="22.5" customHeight="1">
      <c r="J239" s="80" t="s">
        <v>9</v>
      </c>
      <c r="L239" s="80" t="s">
        <v>9</v>
      </c>
    </row>
    <row r="240" spans="2:16" ht="22.5" customHeight="1">
      <c r="B240" s="70" t="s">
        <v>60</v>
      </c>
      <c r="J240" s="100">
        <f>กระดาษทำการงบทดลองเครื่อง!T125</f>
        <v>4969400</v>
      </c>
      <c r="K240" s="131"/>
      <c r="L240" s="100">
        <v>4435770</v>
      </c>
      <c r="O240" s="72" t="e">
        <f>#REF!</f>
        <v>#REF!</v>
      </c>
      <c r="P240" s="72" t="e">
        <f>J240-O240</f>
        <v>#REF!</v>
      </c>
    </row>
    <row r="241" spans="2:16" ht="22.5" customHeight="1">
      <c r="B241" s="70" t="s">
        <v>549</v>
      </c>
      <c r="J241" s="100">
        <f>กระดาษทำการงบทดลองเครื่อง!T128</f>
        <v>1048500</v>
      </c>
      <c r="K241" s="131"/>
      <c r="L241" s="100">
        <v>1048500</v>
      </c>
      <c r="O241" s="72" t="e">
        <f>#REF!</f>
        <v>#REF!</v>
      </c>
      <c r="P241" s="72" t="e">
        <f>J241-O241</f>
        <v>#REF!</v>
      </c>
    </row>
    <row r="242" spans="2:12" ht="22.5" customHeight="1">
      <c r="B242" s="70" t="s">
        <v>149</v>
      </c>
      <c r="J242" s="100">
        <f>กระดาษทำการงบทดลองเครื่อง!T127</f>
        <v>478854.42</v>
      </c>
      <c r="K242" s="131"/>
      <c r="L242" s="100">
        <v>472831.27</v>
      </c>
    </row>
    <row r="243" spans="2:12" ht="22.5" customHeight="1">
      <c r="B243" s="70" t="s">
        <v>346</v>
      </c>
      <c r="J243" s="100">
        <f>กระดาษทำการงบทดลองเครื่อง!T124</f>
        <v>359220</v>
      </c>
      <c r="K243" s="131"/>
      <c r="L243" s="100">
        <v>669680</v>
      </c>
    </row>
    <row r="244" spans="2:12" ht="22.5" customHeight="1">
      <c r="B244" s="70" t="s">
        <v>150</v>
      </c>
      <c r="J244" s="100">
        <f>กระดาษทำการงบทดลองเครื่อง!T123</f>
        <v>2139607.67</v>
      </c>
      <c r="K244" s="131"/>
      <c r="L244" s="100">
        <v>1853127.92</v>
      </c>
    </row>
    <row r="245" spans="2:16" ht="22.5" customHeight="1">
      <c r="B245" s="70" t="s">
        <v>551</v>
      </c>
      <c r="J245" s="100">
        <f>กระดาษทำการงบทดลองเครื่อง!T129</f>
        <v>780000</v>
      </c>
      <c r="K245" s="131"/>
      <c r="L245" s="100">
        <v>845000</v>
      </c>
      <c r="O245" s="72" t="e">
        <f>#REF!</f>
        <v>#REF!</v>
      </c>
      <c r="P245" s="72" t="e">
        <f>J245-O245</f>
        <v>#REF!</v>
      </c>
    </row>
    <row r="246" spans="2:12" ht="22.5" customHeight="1">
      <c r="B246" s="70" t="s">
        <v>553</v>
      </c>
      <c r="J246" s="100">
        <f>กระดาษทำการงบทดลองเครื่อง!T130</f>
        <v>711643.84</v>
      </c>
      <c r="K246" s="131"/>
      <c r="L246" s="100">
        <v>761643.84</v>
      </c>
    </row>
    <row r="247" spans="2:12" ht="22.5" customHeight="1">
      <c r="B247" s="70" t="s">
        <v>399</v>
      </c>
      <c r="J247" s="100">
        <f>กระดาษทำการงบทดลองเครื่อง!T131</f>
        <v>395068.49</v>
      </c>
      <c r="K247" s="131"/>
      <c r="L247" s="140">
        <v>420068.49</v>
      </c>
    </row>
    <row r="248" spans="2:12" ht="22.5" customHeight="1">
      <c r="B248" s="70" t="s">
        <v>419</v>
      </c>
      <c r="J248" s="100">
        <f>กระดาษทำการงบทดลองเครื่อง!T132</f>
        <v>1720200</v>
      </c>
      <c r="K248" s="131"/>
      <c r="L248" s="140">
        <v>1939200</v>
      </c>
    </row>
    <row r="249" spans="5:12" ht="22.5" customHeight="1" thickBot="1">
      <c r="E249" s="73" t="s">
        <v>1</v>
      </c>
      <c r="J249" s="145">
        <f>SUM(J240:J248)</f>
        <v>12602494.42</v>
      </c>
      <c r="K249" s="131"/>
      <c r="L249" s="145">
        <f>SUM(L240:L248)</f>
        <v>12445821.52</v>
      </c>
    </row>
    <row r="250" spans="4:12" ht="22.5" customHeight="1" thickTop="1">
      <c r="D250" s="73"/>
      <c r="H250" s="146"/>
      <c r="I250" s="146"/>
      <c r="J250" s="146"/>
      <c r="K250" s="146"/>
      <c r="L250" s="147"/>
    </row>
    <row r="251" spans="1:16" ht="22.5" customHeight="1">
      <c r="A251" s="335" t="s">
        <v>931</v>
      </c>
      <c r="B251" s="335"/>
      <c r="C251" s="335"/>
      <c r="D251" s="335"/>
      <c r="E251" s="335"/>
      <c r="F251" s="335"/>
      <c r="G251" s="335"/>
      <c r="H251" s="335"/>
      <c r="I251" s="335"/>
      <c r="J251" s="335"/>
      <c r="K251" s="335"/>
      <c r="L251" s="335"/>
      <c r="O251" s="70"/>
      <c r="P251" s="70"/>
    </row>
    <row r="252" spans="1:16" ht="22.5" customHeight="1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O252" s="70"/>
      <c r="P252" s="70"/>
    </row>
    <row r="253" spans="1:3" ht="22.5" customHeight="1">
      <c r="A253" s="73" t="s">
        <v>894</v>
      </c>
      <c r="C253" s="73"/>
    </row>
    <row r="254" spans="1:12" ht="22.5" customHeight="1">
      <c r="A254" s="73"/>
      <c r="C254" s="73"/>
      <c r="J254" s="80" t="s">
        <v>730</v>
      </c>
      <c r="L254" s="80" t="s">
        <v>444</v>
      </c>
    </row>
    <row r="255" spans="10:12" ht="22.5" customHeight="1">
      <c r="J255" s="80" t="s">
        <v>9</v>
      </c>
      <c r="L255" s="80" t="s">
        <v>9</v>
      </c>
    </row>
    <row r="256" spans="2:12" ht="22.5" customHeight="1">
      <c r="B256" s="70" t="s">
        <v>151</v>
      </c>
      <c r="J256" s="131">
        <f>กระดาษทำการงบทดลองเครื่อง!T143</f>
        <v>73453.17</v>
      </c>
      <c r="K256" s="111"/>
      <c r="L256" s="131">
        <v>67427.17</v>
      </c>
    </row>
    <row r="257" spans="2:12" ht="22.5" customHeight="1">
      <c r="B257" s="70" t="s">
        <v>116</v>
      </c>
      <c r="J257" s="131">
        <f>196321</f>
        <v>196321</v>
      </c>
      <c r="K257" s="111"/>
      <c r="L257" s="131">
        <v>195540</v>
      </c>
    </row>
    <row r="258" spans="2:12" ht="22.5" customHeight="1">
      <c r="B258" s="70" t="s">
        <v>152</v>
      </c>
      <c r="J258" s="140">
        <f>กระดาษทำการงบทดลองเครื่อง!T138</f>
        <v>1012885.93</v>
      </c>
      <c r="K258" s="141"/>
      <c r="L258" s="140">
        <v>912885.93</v>
      </c>
    </row>
    <row r="259" spans="2:16" ht="22.5" customHeight="1">
      <c r="B259" s="70" t="s">
        <v>153</v>
      </c>
      <c r="J259" s="140">
        <f>กระดาษทำการงบทดลองเครื่อง!T139</f>
        <v>1363502.5</v>
      </c>
      <c r="K259" s="141"/>
      <c r="L259" s="140">
        <v>1147244</v>
      </c>
      <c r="O259" s="72" t="e">
        <f>#REF!</f>
        <v>#REF!</v>
      </c>
      <c r="P259" s="72" t="e">
        <f>J259-O259</f>
        <v>#REF!</v>
      </c>
    </row>
    <row r="260" spans="2:16" ht="22.5" customHeight="1">
      <c r="B260" s="70" t="s">
        <v>154</v>
      </c>
      <c r="J260" s="140">
        <f>กระดาษทำการงบทดลองเครื่อง!T140</f>
        <v>2380000</v>
      </c>
      <c r="K260" s="141"/>
      <c r="L260" s="140">
        <v>2080000</v>
      </c>
      <c r="O260" s="72" t="e">
        <f>#REF!</f>
        <v>#REF!</v>
      </c>
      <c r="P260" s="72" t="e">
        <f>J260-O260</f>
        <v>#REF!</v>
      </c>
    </row>
    <row r="261" spans="2:12" ht="22.5" customHeight="1">
      <c r="B261" s="70" t="s">
        <v>275</v>
      </c>
      <c r="J261" s="140">
        <f>กระดาษทำการงบทดลองเครื่อง!T141</f>
        <v>996196.5</v>
      </c>
      <c r="K261" s="141"/>
      <c r="L261" s="140">
        <v>857654</v>
      </c>
    </row>
    <row r="262" spans="2:12" ht="22.5" customHeight="1">
      <c r="B262" s="70" t="s">
        <v>686</v>
      </c>
      <c r="J262" s="140">
        <f>กระดาษทำการงบทดลองเครื่อง!T142</f>
        <v>200000</v>
      </c>
      <c r="K262" s="131"/>
      <c r="L262" s="140">
        <v>100000</v>
      </c>
    </row>
    <row r="263" spans="5:16" ht="22.5" customHeight="1" thickBot="1">
      <c r="E263" s="73" t="s">
        <v>1</v>
      </c>
      <c r="J263" s="148">
        <f>SUM(J256:J262)</f>
        <v>6222359.1</v>
      </c>
      <c r="K263" s="144"/>
      <c r="L263" s="148">
        <f>SUM(L256:L262)</f>
        <v>5360751.1</v>
      </c>
      <c r="O263" s="70"/>
      <c r="P263" s="70"/>
    </row>
    <row r="264" spans="15:16" ht="22.5" customHeight="1" thickTop="1">
      <c r="O264" s="70"/>
      <c r="P264" s="70"/>
    </row>
    <row r="265" spans="1:2" ht="22.5" customHeight="1">
      <c r="A265" s="73" t="s">
        <v>895</v>
      </c>
      <c r="B265" s="87" t="s">
        <v>869</v>
      </c>
    </row>
    <row r="266" ht="22.5" customHeight="1">
      <c r="B266" s="70" t="s">
        <v>871</v>
      </c>
    </row>
    <row r="267" ht="22.5" customHeight="1">
      <c r="A267" s="70" t="s">
        <v>870</v>
      </c>
    </row>
  </sheetData>
  <sheetProtection/>
  <mergeCells count="18">
    <mergeCell ref="A251:L251"/>
    <mergeCell ref="J98:L98"/>
    <mergeCell ref="A221:L221"/>
    <mergeCell ref="A117:L117"/>
    <mergeCell ref="F99:H99"/>
    <mergeCell ref="J99:L99"/>
    <mergeCell ref="A145:L145"/>
    <mergeCell ref="A186:L186"/>
    <mergeCell ref="A78:L78"/>
    <mergeCell ref="F98:H98"/>
    <mergeCell ref="J82:L82"/>
    <mergeCell ref="A1:L1"/>
    <mergeCell ref="A2:L2"/>
    <mergeCell ref="A3:L3"/>
    <mergeCell ref="A39:L39"/>
    <mergeCell ref="F82:H82"/>
    <mergeCell ref="F81:H81"/>
    <mergeCell ref="J81:L81"/>
  </mergeCells>
  <printOptions/>
  <pageMargins left="0.5905511811023623" right="0.15748031496062992" top="0.7874015748031497" bottom="0.5905511811023623" header="0" footer="0"/>
  <pageSetup blackAndWhite="1" horizontalDpi="300" verticalDpi="300" orientation="portrait" paperSize="9" scale="90" r:id="rId1"/>
  <rowBreaks count="5" manualBreakCount="5">
    <brk id="38" max="11" man="1"/>
    <brk id="77" max="11" man="1"/>
    <brk id="144" max="11" man="1"/>
    <brk id="220" max="11" man="1"/>
    <brk id="250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view="pageBreakPreview" zoomScaleSheetLayoutView="100" zoomScalePageLayoutView="0" workbookViewId="0" topLeftCell="A10">
      <selection activeCell="P24" sqref="P24"/>
    </sheetView>
  </sheetViews>
  <sheetFormatPr defaultColWidth="9.140625" defaultRowHeight="21.75"/>
  <cols>
    <col min="1" max="1" width="7.28125" style="15" customWidth="1"/>
    <col min="2" max="3" width="5.7109375" style="15" customWidth="1"/>
    <col min="4" max="4" width="26.8515625" style="15" customWidth="1"/>
    <col min="5" max="5" width="14.00390625" style="40" customWidth="1"/>
    <col min="6" max="6" width="1.7109375" style="15" customWidth="1"/>
    <col min="7" max="7" width="9.7109375" style="21" bestFit="1" customWidth="1"/>
    <col min="8" max="8" width="1.7109375" style="15" customWidth="1"/>
    <col min="9" max="9" width="14.7109375" style="40" customWidth="1"/>
    <col min="10" max="10" width="1.7109375" style="15" customWidth="1"/>
    <col min="11" max="11" width="9.7109375" style="21" bestFit="1" customWidth="1"/>
    <col min="12" max="12" width="10.00390625" style="15" customWidth="1"/>
    <col min="13" max="13" width="10.28125" style="35" bestFit="1" customWidth="1"/>
    <col min="14" max="16384" width="9.140625" style="15" customWidth="1"/>
  </cols>
  <sheetData>
    <row r="1" spans="5:14" ht="23.25">
      <c r="E1" s="33"/>
      <c r="H1" s="34"/>
      <c r="I1" s="15"/>
      <c r="J1" s="28"/>
      <c r="K1" s="18" t="s">
        <v>340</v>
      </c>
      <c r="L1" s="28"/>
      <c r="N1" s="25"/>
    </row>
    <row r="2" spans="5:14" ht="23.25">
      <c r="E2" s="33"/>
      <c r="I2" s="33"/>
      <c r="N2" s="25"/>
    </row>
    <row r="3" spans="1:14" ht="23.25">
      <c r="A3" s="337" t="s">
        <v>668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N3" s="25"/>
    </row>
    <row r="4" spans="1:14" ht="23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N4" s="25"/>
    </row>
    <row r="5" spans="5:14" ht="23.25">
      <c r="E5" s="337" t="s">
        <v>730</v>
      </c>
      <c r="F5" s="337"/>
      <c r="G5" s="337"/>
      <c r="H5" s="16"/>
      <c r="I5" s="337" t="s">
        <v>444</v>
      </c>
      <c r="J5" s="337"/>
      <c r="K5" s="337"/>
      <c r="N5" s="25"/>
    </row>
    <row r="6" spans="5:14" ht="23.25">
      <c r="E6" s="36" t="s">
        <v>9</v>
      </c>
      <c r="G6" s="29" t="s">
        <v>32</v>
      </c>
      <c r="H6" s="14"/>
      <c r="I6" s="36" t="s">
        <v>9</v>
      </c>
      <c r="K6" s="29" t="s">
        <v>32</v>
      </c>
      <c r="N6" s="25"/>
    </row>
    <row r="7" spans="1:14" ht="23.25">
      <c r="A7" s="27"/>
      <c r="B7" s="15" t="s">
        <v>85</v>
      </c>
      <c r="E7" s="18"/>
      <c r="F7" s="18"/>
      <c r="G7" s="41"/>
      <c r="H7" s="17"/>
      <c r="I7" s="18"/>
      <c r="J7" s="18"/>
      <c r="K7" s="26"/>
      <c r="L7" s="35" t="e">
        <f>E7*G12/E12</f>
        <v>#DIV/0!</v>
      </c>
      <c r="M7" s="25"/>
      <c r="N7" s="25" t="e">
        <f>(E7*$N$9)/$E$9</f>
        <v>#DIV/0!</v>
      </c>
    </row>
    <row r="8" spans="1:14" ht="23.25">
      <c r="A8" s="27"/>
      <c r="B8" s="336" t="s">
        <v>417</v>
      </c>
      <c r="C8" s="336"/>
      <c r="D8" s="336"/>
      <c r="E8" s="18">
        <v>0</v>
      </c>
      <c r="F8" s="18"/>
      <c r="G8" s="21">
        <v>0</v>
      </c>
      <c r="H8" s="17"/>
      <c r="I8" s="18">
        <v>0</v>
      </c>
      <c r="J8" s="18"/>
      <c r="K8" s="21">
        <v>0</v>
      </c>
      <c r="L8" s="35" t="e">
        <f>E8*G13/E13</f>
        <v>#DIV/0!</v>
      </c>
      <c r="M8" s="25"/>
      <c r="N8" s="25" t="e">
        <f>(E8*$N$9)/$E$9</f>
        <v>#DIV/0!</v>
      </c>
    </row>
    <row r="9" spans="2:14" ht="23.25">
      <c r="B9" s="15" t="s">
        <v>424</v>
      </c>
      <c r="E9" s="17">
        <v>0</v>
      </c>
      <c r="F9" s="18"/>
      <c r="G9" s="21">
        <v>0</v>
      </c>
      <c r="H9" s="19"/>
      <c r="I9" s="17">
        <v>0</v>
      </c>
      <c r="J9" s="18"/>
      <c r="K9" s="21">
        <v>0</v>
      </c>
      <c r="L9" s="35" t="e">
        <f>E9*#REF!/#REF!</f>
        <v>#REF!</v>
      </c>
      <c r="N9" s="25">
        <v>100</v>
      </c>
    </row>
    <row r="10" spans="2:14" ht="23.25">
      <c r="B10" s="15" t="s">
        <v>436</v>
      </c>
      <c r="E10" s="17">
        <v>0</v>
      </c>
      <c r="F10" s="18"/>
      <c r="G10" s="21">
        <v>0</v>
      </c>
      <c r="H10" s="19"/>
      <c r="I10" s="17">
        <v>0</v>
      </c>
      <c r="J10" s="18"/>
      <c r="K10" s="21">
        <v>0</v>
      </c>
      <c r="L10" s="35"/>
      <c r="N10" s="25"/>
    </row>
    <row r="11" spans="2:14" ht="23.25">
      <c r="B11" s="31"/>
      <c r="C11" s="31"/>
      <c r="D11" s="31" t="s">
        <v>35</v>
      </c>
      <c r="E11" s="42">
        <f>SUM(E8:E10)</f>
        <v>0</v>
      </c>
      <c r="F11" s="19"/>
      <c r="G11" s="30">
        <f>SUM(G8:G9)</f>
        <v>0</v>
      </c>
      <c r="H11" s="20"/>
      <c r="I11" s="42">
        <f>SUM(I8:I10)</f>
        <v>0</v>
      </c>
      <c r="J11" s="19"/>
      <c r="K11" s="30">
        <v>0</v>
      </c>
      <c r="L11" s="35" t="e">
        <f>E11*#REF!/#REF!</f>
        <v>#REF!</v>
      </c>
      <c r="M11" s="25"/>
      <c r="N11" s="25" t="e">
        <f>(E11*$N$9)/$E$9</f>
        <v>#DIV/0!</v>
      </c>
    </row>
    <row r="12" spans="1:14" ht="23.25">
      <c r="A12" s="27"/>
      <c r="B12" s="15" t="s">
        <v>728</v>
      </c>
      <c r="E12" s="17"/>
      <c r="F12" s="18"/>
      <c r="H12" s="19"/>
      <c r="I12" s="17"/>
      <c r="J12" s="18"/>
      <c r="L12" s="35" t="e">
        <f>E12*#REF!/#REF!</f>
        <v>#REF!</v>
      </c>
      <c r="N12" s="25" t="e">
        <f>(E12*$N$9)/$E$9</f>
        <v>#DIV/0!</v>
      </c>
    </row>
    <row r="13" spans="2:14" ht="23.25">
      <c r="B13" s="336" t="s">
        <v>168</v>
      </c>
      <c r="C13" s="336"/>
      <c r="D13" s="336"/>
      <c r="E13" s="43">
        <v>0</v>
      </c>
      <c r="F13" s="28"/>
      <c r="G13" s="21">
        <v>0</v>
      </c>
      <c r="H13" s="44"/>
      <c r="I13" s="43">
        <v>0</v>
      </c>
      <c r="J13" s="28"/>
      <c r="K13" s="21">
        <v>0</v>
      </c>
      <c r="L13" s="35" t="e">
        <f>E13*100/#REF!</f>
        <v>#REF!</v>
      </c>
      <c r="N13" s="25"/>
    </row>
    <row r="14" spans="2:14" ht="23.25">
      <c r="B14" s="336" t="s">
        <v>437</v>
      </c>
      <c r="C14" s="336"/>
      <c r="D14" s="336"/>
      <c r="E14" s="43">
        <v>0</v>
      </c>
      <c r="F14" s="28"/>
      <c r="G14" s="21">
        <v>0</v>
      </c>
      <c r="H14" s="44"/>
      <c r="I14" s="43">
        <v>0</v>
      </c>
      <c r="J14" s="28"/>
      <c r="K14" s="21">
        <v>0</v>
      </c>
      <c r="L14" s="35"/>
      <c r="N14" s="25"/>
    </row>
    <row r="15" spans="2:14" ht="23.25">
      <c r="B15" s="336" t="s">
        <v>696</v>
      </c>
      <c r="C15" s="336"/>
      <c r="D15" s="336"/>
      <c r="E15" s="43">
        <v>0</v>
      </c>
      <c r="F15" s="28"/>
      <c r="G15" s="21">
        <v>0</v>
      </c>
      <c r="H15" s="44"/>
      <c r="I15" s="43">
        <v>0</v>
      </c>
      <c r="J15" s="28"/>
      <c r="K15" s="21">
        <v>0</v>
      </c>
      <c r="L15" s="35"/>
      <c r="N15" s="25"/>
    </row>
    <row r="16" spans="2:14" ht="23.25">
      <c r="B16" s="336" t="s">
        <v>669</v>
      </c>
      <c r="C16" s="336"/>
      <c r="D16" s="336"/>
      <c r="E16" s="43">
        <v>0</v>
      </c>
      <c r="F16" s="28"/>
      <c r="G16" s="21">
        <v>0</v>
      </c>
      <c r="H16" s="44"/>
      <c r="I16" s="43">
        <v>0</v>
      </c>
      <c r="J16" s="28"/>
      <c r="K16" s="21">
        <v>0</v>
      </c>
      <c r="L16" s="35"/>
      <c r="N16" s="25"/>
    </row>
    <row r="17" spans="4:14" ht="23.25">
      <c r="D17" s="15" t="s">
        <v>36</v>
      </c>
      <c r="E17" s="37">
        <f>SUM(E13:E16)</f>
        <v>0</v>
      </c>
      <c r="F17" s="18"/>
      <c r="G17" s="38">
        <f>SUM(G13:G13)</f>
        <v>0</v>
      </c>
      <c r="H17" s="19"/>
      <c r="I17" s="37">
        <f>SUM(I13:I16)</f>
        <v>0</v>
      </c>
      <c r="J17" s="18"/>
      <c r="K17" s="38">
        <f>SUM(K13:K13)</f>
        <v>0</v>
      </c>
      <c r="L17" s="35" t="e">
        <f>E17*100/E12</f>
        <v>#DIV/0!</v>
      </c>
      <c r="N17" s="25" t="e">
        <f>(E17*$N$9)/$E$9</f>
        <v>#DIV/0!</v>
      </c>
    </row>
    <row r="18" spans="1:14" ht="24" thickBot="1">
      <c r="A18" s="22" t="s">
        <v>709</v>
      </c>
      <c r="E18" s="23">
        <f>+E11-E17</f>
        <v>0</v>
      </c>
      <c r="F18" s="32"/>
      <c r="G18" s="24">
        <f>+G11-G17</f>
        <v>0</v>
      </c>
      <c r="H18" s="39"/>
      <c r="I18" s="23">
        <f>+I11-I17</f>
        <v>0</v>
      </c>
      <c r="J18" s="32"/>
      <c r="K18" s="24">
        <f>+K11-K17</f>
        <v>0</v>
      </c>
      <c r="L18" s="35" t="e">
        <f>E18*100/#REF!</f>
        <v>#REF!</v>
      </c>
      <c r="N18" s="25" t="e">
        <f>(E18*$N$9)/$E$9</f>
        <v>#DIV/0!</v>
      </c>
    </row>
    <row r="19" spans="1:14" ht="24" thickTop="1">
      <c r="A19" s="22"/>
      <c r="E19" s="33"/>
      <c r="I19" s="33"/>
      <c r="N19" s="25"/>
    </row>
  </sheetData>
  <sheetProtection/>
  <mergeCells count="8">
    <mergeCell ref="B13:D13"/>
    <mergeCell ref="B15:D15"/>
    <mergeCell ref="B16:D16"/>
    <mergeCell ref="B14:D14"/>
    <mergeCell ref="A3:K3"/>
    <mergeCell ref="E5:G5"/>
    <mergeCell ref="I5:K5"/>
    <mergeCell ref="B8:D8"/>
  </mergeCells>
  <printOptions/>
  <pageMargins left="0.7480314960629921" right="0.35433070866141736" top="0.98425196850393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0"/>
  <sheetViews>
    <sheetView zoomScalePageLayoutView="0" workbookViewId="0" topLeftCell="A1">
      <selection activeCell="A2" sqref="A2:IV965"/>
    </sheetView>
  </sheetViews>
  <sheetFormatPr defaultColWidth="9.140625" defaultRowHeight="21.75"/>
  <sheetData>
    <row r="1" spans="1:20" ht="21.75">
      <c r="A1" s="45" t="s">
        <v>734</v>
      </c>
      <c r="B1" s="45" t="s">
        <v>735</v>
      </c>
      <c r="C1" s="46" t="s">
        <v>736</v>
      </c>
      <c r="D1" s="46" t="s">
        <v>737</v>
      </c>
      <c r="E1" s="46" t="s">
        <v>738</v>
      </c>
      <c r="F1" s="46" t="s">
        <v>739</v>
      </c>
      <c r="G1" s="46" t="s">
        <v>740</v>
      </c>
      <c r="H1" s="46" t="s">
        <v>741</v>
      </c>
      <c r="I1" s="46" t="s">
        <v>742</v>
      </c>
      <c r="J1" s="46" t="s">
        <v>743</v>
      </c>
      <c r="K1" s="46" t="s">
        <v>744</v>
      </c>
      <c r="L1" s="46" t="s">
        <v>745</v>
      </c>
      <c r="M1" s="46" t="s">
        <v>746</v>
      </c>
      <c r="N1" s="46" t="s">
        <v>747</v>
      </c>
      <c r="O1" s="46" t="s">
        <v>748</v>
      </c>
      <c r="P1" s="46" t="s">
        <v>749</v>
      </c>
      <c r="Q1" s="46" t="s">
        <v>750</v>
      </c>
      <c r="R1" s="46" t="s">
        <v>751</v>
      </c>
      <c r="S1" s="46" t="s">
        <v>752</v>
      </c>
      <c r="T1" s="46" t="s">
        <v>753</v>
      </c>
    </row>
    <row r="2" spans="1:20" ht="21.75">
      <c r="A2" s="45" t="s">
        <v>200</v>
      </c>
      <c r="B2" s="45" t="s">
        <v>50</v>
      </c>
      <c r="C2" s="46">
        <v>703474</v>
      </c>
      <c r="D2" s="46">
        <v>0</v>
      </c>
      <c r="E2" s="46">
        <v>1202088989.38</v>
      </c>
      <c r="F2" s="46">
        <v>1202366189.63</v>
      </c>
      <c r="G2" s="46">
        <v>426273.75</v>
      </c>
      <c r="H2" s="46">
        <v>0</v>
      </c>
      <c r="I2" s="46">
        <v>0</v>
      </c>
      <c r="J2" s="46">
        <v>0</v>
      </c>
      <c r="K2" s="46">
        <v>426273.75</v>
      </c>
      <c r="L2" s="46">
        <v>0</v>
      </c>
      <c r="M2" s="46">
        <v>0</v>
      </c>
      <c r="N2" s="46">
        <v>0</v>
      </c>
      <c r="O2" s="46">
        <v>0</v>
      </c>
      <c r="P2" s="46">
        <v>0</v>
      </c>
      <c r="Q2" s="46">
        <v>0</v>
      </c>
      <c r="R2" s="46">
        <v>0</v>
      </c>
      <c r="S2" s="46">
        <v>426273.75</v>
      </c>
      <c r="T2" s="46">
        <v>0</v>
      </c>
    </row>
    <row r="3" spans="1:20" ht="21.75">
      <c r="A3" s="45" t="s">
        <v>201</v>
      </c>
      <c r="B3" s="45" t="s">
        <v>445</v>
      </c>
      <c r="C3" s="46">
        <v>116693593.93</v>
      </c>
      <c r="D3" s="46">
        <v>0</v>
      </c>
      <c r="E3" s="46">
        <v>501452894.56</v>
      </c>
      <c r="F3" s="46">
        <v>545723438.59</v>
      </c>
      <c r="G3" s="46">
        <v>72423049.9</v>
      </c>
      <c r="H3" s="46">
        <v>0</v>
      </c>
      <c r="I3" s="46">
        <v>0</v>
      </c>
      <c r="J3" s="46">
        <v>0</v>
      </c>
      <c r="K3" s="46">
        <v>72423049.9</v>
      </c>
      <c r="L3" s="46">
        <v>0</v>
      </c>
      <c r="M3" s="46">
        <v>0</v>
      </c>
      <c r="N3" s="46">
        <v>0</v>
      </c>
      <c r="O3" s="46">
        <v>0</v>
      </c>
      <c r="P3" s="46">
        <v>0</v>
      </c>
      <c r="Q3" s="46">
        <v>0</v>
      </c>
      <c r="R3" s="46">
        <v>0</v>
      </c>
      <c r="S3" s="46">
        <v>72423049.9</v>
      </c>
      <c r="T3" s="46">
        <v>0</v>
      </c>
    </row>
    <row r="4" spans="1:20" ht="21.75">
      <c r="A4" s="45" t="s">
        <v>202</v>
      </c>
      <c r="B4" s="45" t="s">
        <v>446</v>
      </c>
      <c r="C4" s="46">
        <v>204330.76</v>
      </c>
      <c r="D4" s="46">
        <v>0</v>
      </c>
      <c r="E4" s="46">
        <v>486449.92</v>
      </c>
      <c r="F4" s="46">
        <v>310000</v>
      </c>
      <c r="G4" s="46">
        <v>380780.68</v>
      </c>
      <c r="H4" s="46">
        <v>0</v>
      </c>
      <c r="I4" s="46">
        <v>0</v>
      </c>
      <c r="J4" s="46">
        <v>0</v>
      </c>
      <c r="K4" s="46">
        <v>380780.68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380780.68</v>
      </c>
      <c r="T4" s="46">
        <v>0</v>
      </c>
    </row>
    <row r="5" spans="1:20" ht="21.75">
      <c r="A5" s="45" t="s">
        <v>447</v>
      </c>
      <c r="B5" s="45" t="s">
        <v>448</v>
      </c>
      <c r="C5" s="46">
        <v>1308.55</v>
      </c>
      <c r="D5" s="46">
        <v>0</v>
      </c>
      <c r="E5" s="46">
        <v>3.39</v>
      </c>
      <c r="F5" s="46">
        <v>0</v>
      </c>
      <c r="G5" s="46">
        <v>1311.94</v>
      </c>
      <c r="H5" s="46">
        <v>0</v>
      </c>
      <c r="I5" s="46">
        <v>3.14</v>
      </c>
      <c r="J5" s="46">
        <v>0</v>
      </c>
      <c r="K5" s="46">
        <v>1315.08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1315.08</v>
      </c>
      <c r="T5" s="46">
        <v>0</v>
      </c>
    </row>
    <row r="6" spans="1:20" ht="21.75">
      <c r="A6" s="45" t="s">
        <v>203</v>
      </c>
      <c r="B6" s="45" t="s">
        <v>449</v>
      </c>
      <c r="C6" s="46">
        <v>313623.9</v>
      </c>
      <c r="D6" s="46">
        <v>0</v>
      </c>
      <c r="E6" s="46">
        <v>11023014.81</v>
      </c>
      <c r="F6" s="46">
        <v>11330000</v>
      </c>
      <c r="G6" s="46">
        <v>6638.71</v>
      </c>
      <c r="H6" s="46">
        <v>0</v>
      </c>
      <c r="I6" s="46">
        <v>0</v>
      </c>
      <c r="J6" s="46">
        <v>0</v>
      </c>
      <c r="K6" s="46">
        <v>6638.71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6638.71</v>
      </c>
      <c r="T6" s="46">
        <v>0</v>
      </c>
    </row>
    <row r="7" spans="1:20" ht="21.75">
      <c r="A7" s="45" t="s">
        <v>204</v>
      </c>
      <c r="B7" s="45" t="s">
        <v>450</v>
      </c>
      <c r="C7" s="46">
        <v>893.65</v>
      </c>
      <c r="D7" s="46">
        <v>0</v>
      </c>
      <c r="E7" s="46">
        <v>2.31</v>
      </c>
      <c r="F7" s="46">
        <v>0</v>
      </c>
      <c r="G7" s="46">
        <v>895.96</v>
      </c>
      <c r="H7" s="46">
        <v>0</v>
      </c>
      <c r="I7" s="46">
        <v>2.15</v>
      </c>
      <c r="J7" s="46">
        <v>0</v>
      </c>
      <c r="K7" s="46">
        <v>898.11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898.11</v>
      </c>
      <c r="T7" s="46">
        <v>0</v>
      </c>
    </row>
    <row r="8" spans="1:20" ht="21.75">
      <c r="A8" s="45" t="s">
        <v>451</v>
      </c>
      <c r="B8" s="45" t="s">
        <v>452</v>
      </c>
      <c r="C8" s="46">
        <v>2501000</v>
      </c>
      <c r="D8" s="46">
        <v>0</v>
      </c>
      <c r="E8" s="46">
        <v>0</v>
      </c>
      <c r="F8" s="46">
        <v>1001000</v>
      </c>
      <c r="G8" s="46">
        <v>1500000</v>
      </c>
      <c r="H8" s="46">
        <v>0</v>
      </c>
      <c r="I8" s="46">
        <v>0</v>
      </c>
      <c r="J8" s="46">
        <v>0</v>
      </c>
      <c r="K8" s="46">
        <v>1500000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1500000</v>
      </c>
      <c r="T8" s="46">
        <v>0</v>
      </c>
    </row>
    <row r="9" spans="1:20" ht="21.75">
      <c r="A9" s="45" t="s">
        <v>453</v>
      </c>
      <c r="B9" s="45" t="s">
        <v>454</v>
      </c>
      <c r="C9" s="46">
        <v>24768.05</v>
      </c>
      <c r="D9" s="46">
        <v>0</v>
      </c>
      <c r="E9" s="46">
        <v>5980690.64</v>
      </c>
      <c r="F9" s="46">
        <v>6004500</v>
      </c>
      <c r="G9" s="46">
        <v>958.69</v>
      </c>
      <c r="H9" s="46">
        <v>0</v>
      </c>
      <c r="I9" s="46">
        <v>0</v>
      </c>
      <c r="J9" s="46">
        <v>0</v>
      </c>
      <c r="K9" s="46">
        <v>958.69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958.69</v>
      </c>
      <c r="T9" s="46">
        <v>0</v>
      </c>
    </row>
    <row r="10" spans="1:20" ht="21.75">
      <c r="A10" s="45" t="s">
        <v>205</v>
      </c>
      <c r="B10" s="45" t="s">
        <v>455</v>
      </c>
      <c r="C10" s="46">
        <v>947.25</v>
      </c>
      <c r="D10" s="46">
        <v>0</v>
      </c>
      <c r="E10" s="46">
        <v>2.45</v>
      </c>
      <c r="F10" s="46">
        <v>0</v>
      </c>
      <c r="G10" s="46">
        <v>949.7</v>
      </c>
      <c r="H10" s="46">
        <v>0</v>
      </c>
      <c r="I10" s="46">
        <v>2.28</v>
      </c>
      <c r="J10" s="46">
        <v>0</v>
      </c>
      <c r="K10" s="46">
        <v>951.98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951.98</v>
      </c>
      <c r="T10" s="46">
        <v>0</v>
      </c>
    </row>
    <row r="11" spans="1:20" ht="21.75">
      <c r="A11" s="45" t="s">
        <v>456</v>
      </c>
      <c r="B11" s="45" t="s">
        <v>457</v>
      </c>
      <c r="C11" s="46">
        <v>6196.8</v>
      </c>
      <c r="D11" s="46">
        <v>0</v>
      </c>
      <c r="E11" s="46">
        <v>10502135.22</v>
      </c>
      <c r="F11" s="46">
        <v>10506000</v>
      </c>
      <c r="G11" s="46">
        <v>2332.02</v>
      </c>
      <c r="H11" s="46">
        <v>0</v>
      </c>
      <c r="I11" s="46">
        <v>714.22</v>
      </c>
      <c r="J11" s="46">
        <v>0</v>
      </c>
      <c r="K11" s="46">
        <v>3046.24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3046.24</v>
      </c>
      <c r="T11" s="46">
        <v>0</v>
      </c>
    </row>
    <row r="12" spans="1:20" ht="21.75">
      <c r="A12" s="45" t="s">
        <v>458</v>
      </c>
      <c r="B12" s="45" t="s">
        <v>459</v>
      </c>
      <c r="C12" s="46">
        <v>515.06</v>
      </c>
      <c r="D12" s="46">
        <v>0</v>
      </c>
      <c r="E12" s="46">
        <v>1.33</v>
      </c>
      <c r="F12" s="46">
        <v>0</v>
      </c>
      <c r="G12" s="46">
        <v>516.39</v>
      </c>
      <c r="H12" s="46">
        <v>0</v>
      </c>
      <c r="I12" s="46">
        <v>1.24</v>
      </c>
      <c r="J12" s="46">
        <v>0</v>
      </c>
      <c r="K12" s="46">
        <v>517.63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517.63</v>
      </c>
      <c r="T12" s="46">
        <v>0</v>
      </c>
    </row>
    <row r="13" spans="1:20" ht="21.75">
      <c r="A13" s="45" t="s">
        <v>460</v>
      </c>
      <c r="B13" s="45" t="s">
        <v>461</v>
      </c>
      <c r="C13" s="46">
        <v>520.04</v>
      </c>
      <c r="D13" s="46">
        <v>0</v>
      </c>
      <c r="E13" s="46">
        <v>1.35</v>
      </c>
      <c r="F13" s="46">
        <v>0</v>
      </c>
      <c r="G13" s="46">
        <v>521.39</v>
      </c>
      <c r="H13" s="46">
        <v>0</v>
      </c>
      <c r="I13" s="46">
        <v>1.25</v>
      </c>
      <c r="J13" s="46">
        <v>0</v>
      </c>
      <c r="K13" s="46">
        <v>522.64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522.64</v>
      </c>
      <c r="T13" s="46">
        <v>0</v>
      </c>
    </row>
    <row r="14" spans="1:20" ht="21.75">
      <c r="A14" s="45" t="s">
        <v>462</v>
      </c>
      <c r="B14" s="45" t="s">
        <v>463</v>
      </c>
      <c r="C14" s="46">
        <v>100.05</v>
      </c>
      <c r="D14" s="46">
        <v>0</v>
      </c>
      <c r="E14" s="46">
        <v>0.2</v>
      </c>
      <c r="F14" s="46">
        <v>100.25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</row>
    <row r="15" spans="1:20" ht="21.75">
      <c r="A15" s="45" t="s">
        <v>754</v>
      </c>
      <c r="B15" s="45" t="s">
        <v>755</v>
      </c>
      <c r="C15" s="46">
        <v>0</v>
      </c>
      <c r="D15" s="46">
        <v>0</v>
      </c>
      <c r="E15" s="46">
        <v>60165.34</v>
      </c>
      <c r="F15" s="46">
        <v>60165.34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</row>
    <row r="16" spans="1:20" ht="21.75">
      <c r="A16" s="45" t="s">
        <v>756</v>
      </c>
      <c r="B16" s="45" t="s">
        <v>757</v>
      </c>
      <c r="C16" s="46">
        <v>0</v>
      </c>
      <c r="D16" s="46">
        <v>0</v>
      </c>
      <c r="E16" s="46">
        <v>70174.92</v>
      </c>
      <c r="F16" s="46">
        <v>70174.92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</row>
    <row r="17" spans="1:20" ht="21.75">
      <c r="A17" s="45" t="s">
        <v>758</v>
      </c>
      <c r="B17" s="45" t="s">
        <v>759</v>
      </c>
      <c r="C17" s="46">
        <v>0</v>
      </c>
      <c r="D17" s="46">
        <v>0</v>
      </c>
      <c r="E17" s="46">
        <v>250</v>
      </c>
      <c r="F17" s="46">
        <v>0</v>
      </c>
      <c r="G17" s="46">
        <v>250</v>
      </c>
      <c r="H17" s="46">
        <v>0</v>
      </c>
      <c r="I17" s="46">
        <v>0</v>
      </c>
      <c r="J17" s="46">
        <v>0</v>
      </c>
      <c r="K17" s="46">
        <v>250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250</v>
      </c>
      <c r="T17" s="46">
        <v>0</v>
      </c>
    </row>
    <row r="18" spans="1:20" ht="21.75">
      <c r="A18" s="45" t="s">
        <v>207</v>
      </c>
      <c r="B18" s="45" t="s">
        <v>208</v>
      </c>
      <c r="C18" s="46">
        <v>2058162.24</v>
      </c>
      <c r="D18" s="46">
        <v>0</v>
      </c>
      <c r="E18" s="46">
        <v>90000000</v>
      </c>
      <c r="F18" s="46">
        <v>22000000</v>
      </c>
      <c r="G18" s="46">
        <v>70058162.24</v>
      </c>
      <c r="H18" s="46">
        <v>0</v>
      </c>
      <c r="I18" s="46">
        <v>1388897.55</v>
      </c>
      <c r="J18" s="46">
        <v>0</v>
      </c>
      <c r="K18" s="46">
        <v>71447059.79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71447059.79</v>
      </c>
      <c r="T18" s="46">
        <v>0</v>
      </c>
    </row>
    <row r="19" spans="1:20" ht="21.75">
      <c r="A19" s="45" t="s">
        <v>464</v>
      </c>
      <c r="B19" s="45" t="s">
        <v>465</v>
      </c>
      <c r="C19" s="46">
        <v>2015.26</v>
      </c>
      <c r="D19" s="46">
        <v>0</v>
      </c>
      <c r="E19" s="46">
        <v>0</v>
      </c>
      <c r="F19" s="46">
        <v>0</v>
      </c>
      <c r="G19" s="46">
        <v>2015.26</v>
      </c>
      <c r="H19" s="46">
        <v>0</v>
      </c>
      <c r="I19" s="46">
        <v>95.72</v>
      </c>
      <c r="J19" s="46">
        <v>0</v>
      </c>
      <c r="K19" s="46">
        <v>2110.98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2110.98</v>
      </c>
      <c r="T19" s="46">
        <v>0</v>
      </c>
    </row>
    <row r="20" spans="1:20" ht="21.75">
      <c r="A20" s="45" t="s">
        <v>466</v>
      </c>
      <c r="B20" s="45" t="s">
        <v>467</v>
      </c>
      <c r="C20" s="46">
        <v>66231.78</v>
      </c>
      <c r="D20" s="46">
        <v>0</v>
      </c>
      <c r="E20" s="46">
        <v>0</v>
      </c>
      <c r="F20" s="46">
        <v>66231.78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</row>
    <row r="21" spans="1:20" ht="21.75">
      <c r="A21" s="45" t="s">
        <v>206</v>
      </c>
      <c r="B21" s="45" t="s">
        <v>468</v>
      </c>
      <c r="C21" s="46">
        <v>100057.51</v>
      </c>
      <c r="D21" s="46">
        <v>0</v>
      </c>
      <c r="E21" s="46">
        <v>1400.8</v>
      </c>
      <c r="F21" s="46">
        <v>0</v>
      </c>
      <c r="G21" s="46">
        <v>101458.31</v>
      </c>
      <c r="H21" s="46">
        <v>0</v>
      </c>
      <c r="I21" s="46">
        <v>0</v>
      </c>
      <c r="J21" s="46">
        <v>0</v>
      </c>
      <c r="K21" s="46">
        <v>101458.31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101458.31</v>
      </c>
      <c r="T21" s="46">
        <v>0</v>
      </c>
    </row>
    <row r="22" spans="1:20" ht="21.75">
      <c r="A22" s="45" t="s">
        <v>209</v>
      </c>
      <c r="B22" s="45" t="s">
        <v>210</v>
      </c>
      <c r="C22" s="46">
        <v>538123.27</v>
      </c>
      <c r="D22" s="46">
        <v>0</v>
      </c>
      <c r="E22" s="46">
        <v>113315031.09</v>
      </c>
      <c r="F22" s="46">
        <v>113006133.16</v>
      </c>
      <c r="G22" s="46">
        <v>847021.2</v>
      </c>
      <c r="H22" s="46">
        <v>0</v>
      </c>
      <c r="I22" s="46">
        <v>0</v>
      </c>
      <c r="J22" s="46">
        <v>0</v>
      </c>
      <c r="K22" s="46">
        <v>847021.2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847021.2</v>
      </c>
      <c r="T22" s="46">
        <v>0</v>
      </c>
    </row>
    <row r="23" spans="1:20" ht="21.75">
      <c r="A23" s="45" t="s">
        <v>760</v>
      </c>
      <c r="B23" s="45" t="s">
        <v>761</v>
      </c>
      <c r="C23" s="46">
        <v>0</v>
      </c>
      <c r="D23" s="46">
        <v>0</v>
      </c>
      <c r="E23" s="46">
        <v>228123.35</v>
      </c>
      <c r="F23" s="46">
        <v>226740.35</v>
      </c>
      <c r="G23" s="46">
        <v>1383</v>
      </c>
      <c r="H23" s="46">
        <v>0</v>
      </c>
      <c r="I23" s="46">
        <v>0</v>
      </c>
      <c r="J23" s="46">
        <v>0</v>
      </c>
      <c r="K23" s="46">
        <v>1383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1383</v>
      </c>
      <c r="T23" s="46">
        <v>0</v>
      </c>
    </row>
    <row r="24" spans="1:20" ht="21.75">
      <c r="A24" s="45" t="s">
        <v>211</v>
      </c>
      <c r="B24" s="45" t="s">
        <v>53</v>
      </c>
      <c r="C24" s="46">
        <v>255673</v>
      </c>
      <c r="D24" s="46">
        <v>0</v>
      </c>
      <c r="E24" s="46">
        <v>3799188.7</v>
      </c>
      <c r="F24" s="46">
        <v>3745986.7</v>
      </c>
      <c r="G24" s="46">
        <v>308875</v>
      </c>
      <c r="H24" s="46">
        <v>0</v>
      </c>
      <c r="I24" s="46">
        <v>0</v>
      </c>
      <c r="J24" s="46">
        <v>0</v>
      </c>
      <c r="K24" s="46">
        <v>308875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308875</v>
      </c>
      <c r="T24" s="46">
        <v>0</v>
      </c>
    </row>
    <row r="25" spans="1:20" ht="21.75">
      <c r="A25" s="45" t="s">
        <v>469</v>
      </c>
      <c r="B25" s="45" t="s">
        <v>212</v>
      </c>
      <c r="C25" s="46">
        <v>589340.25</v>
      </c>
      <c r="D25" s="46">
        <v>0</v>
      </c>
      <c r="E25" s="46">
        <v>5473243.35</v>
      </c>
      <c r="F25" s="46">
        <v>5371362.54</v>
      </c>
      <c r="G25" s="46">
        <v>691221.06</v>
      </c>
      <c r="H25" s="46">
        <v>0</v>
      </c>
      <c r="I25" s="46">
        <v>0</v>
      </c>
      <c r="J25" s="46">
        <v>0</v>
      </c>
      <c r="K25" s="46">
        <v>691221.06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691221.06</v>
      </c>
      <c r="T25" s="46">
        <v>0</v>
      </c>
    </row>
    <row r="26" spans="1:20" ht="21.75">
      <c r="A26" s="45" t="s">
        <v>470</v>
      </c>
      <c r="B26" s="45" t="s">
        <v>148</v>
      </c>
      <c r="C26" s="46">
        <v>0</v>
      </c>
      <c r="D26" s="46">
        <v>0</v>
      </c>
      <c r="E26" s="46">
        <v>6016871.75</v>
      </c>
      <c r="F26" s="46">
        <v>5941936.75</v>
      </c>
      <c r="G26" s="46">
        <v>74935</v>
      </c>
      <c r="H26" s="46">
        <v>0</v>
      </c>
      <c r="I26" s="46">
        <v>0</v>
      </c>
      <c r="J26" s="46">
        <v>0</v>
      </c>
      <c r="K26" s="46">
        <v>74935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74935</v>
      </c>
      <c r="T26" s="46">
        <v>0</v>
      </c>
    </row>
    <row r="27" spans="1:20" ht="21.75">
      <c r="A27" s="45" t="s">
        <v>471</v>
      </c>
      <c r="B27" s="45" t="s">
        <v>347</v>
      </c>
      <c r="C27" s="46">
        <v>0</v>
      </c>
      <c r="D27" s="46">
        <v>0</v>
      </c>
      <c r="E27" s="46">
        <v>3058045.65</v>
      </c>
      <c r="F27" s="46">
        <v>3055325.65</v>
      </c>
      <c r="G27" s="46">
        <v>2720</v>
      </c>
      <c r="H27" s="46">
        <v>0</v>
      </c>
      <c r="I27" s="46">
        <v>0</v>
      </c>
      <c r="J27" s="46">
        <v>0</v>
      </c>
      <c r="K27" s="46">
        <v>2720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2720</v>
      </c>
      <c r="T27" s="46">
        <v>0</v>
      </c>
    </row>
    <row r="28" spans="1:20" ht="21.75">
      <c r="A28" s="45" t="s">
        <v>213</v>
      </c>
      <c r="B28" s="45" t="s">
        <v>214</v>
      </c>
      <c r="C28" s="46">
        <v>31518898</v>
      </c>
      <c r="D28" s="46">
        <v>0</v>
      </c>
      <c r="E28" s="46">
        <v>26681000</v>
      </c>
      <c r="F28" s="46">
        <v>31880322</v>
      </c>
      <c r="G28" s="46">
        <v>26319576</v>
      </c>
      <c r="H28" s="46">
        <v>0</v>
      </c>
      <c r="I28" s="46">
        <v>0</v>
      </c>
      <c r="J28" s="46">
        <v>0</v>
      </c>
      <c r="K28" s="46">
        <v>26319576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26319576</v>
      </c>
      <c r="T28" s="46">
        <v>0</v>
      </c>
    </row>
    <row r="29" spans="1:20" ht="21.75">
      <c r="A29" s="45" t="s">
        <v>674</v>
      </c>
      <c r="B29" s="45" t="s">
        <v>675</v>
      </c>
      <c r="C29" s="46">
        <v>0</v>
      </c>
      <c r="D29" s="46">
        <v>1047407.8</v>
      </c>
      <c r="E29" s="46">
        <v>-5651581.7</v>
      </c>
      <c r="F29" s="46">
        <v>-219776.85</v>
      </c>
      <c r="G29" s="46">
        <v>0</v>
      </c>
      <c r="H29" s="46">
        <v>6479212.65</v>
      </c>
      <c r="I29" s="46">
        <v>5744655.55</v>
      </c>
      <c r="J29" s="46">
        <v>219776.85</v>
      </c>
      <c r="K29" s="46">
        <v>0</v>
      </c>
      <c r="L29" s="46">
        <v>954333.95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954333.95</v>
      </c>
    </row>
    <row r="30" spans="1:20" ht="21.75">
      <c r="A30" s="45" t="s">
        <v>215</v>
      </c>
      <c r="B30" s="45" t="s">
        <v>216</v>
      </c>
      <c r="C30" s="46">
        <v>25429219</v>
      </c>
      <c r="D30" s="46">
        <v>0</v>
      </c>
      <c r="E30" s="46">
        <v>29700800</v>
      </c>
      <c r="F30" s="46">
        <v>26638087</v>
      </c>
      <c r="G30" s="46">
        <v>28491932</v>
      </c>
      <c r="H30" s="46">
        <v>0</v>
      </c>
      <c r="I30" s="46">
        <v>0</v>
      </c>
      <c r="J30" s="46">
        <v>0</v>
      </c>
      <c r="K30" s="46">
        <v>28491932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28491932</v>
      </c>
      <c r="T30" s="46">
        <v>0</v>
      </c>
    </row>
    <row r="31" spans="1:20" ht="21.75">
      <c r="A31" s="45" t="s">
        <v>217</v>
      </c>
      <c r="B31" s="45" t="s">
        <v>218</v>
      </c>
      <c r="C31" s="46">
        <v>43318918</v>
      </c>
      <c r="D31" s="46">
        <v>0</v>
      </c>
      <c r="E31" s="46">
        <v>18543000</v>
      </c>
      <c r="F31" s="46">
        <v>20482583</v>
      </c>
      <c r="G31" s="46">
        <v>41379335</v>
      </c>
      <c r="H31" s="46">
        <v>0</v>
      </c>
      <c r="I31" s="46">
        <v>0</v>
      </c>
      <c r="J31" s="46">
        <v>0</v>
      </c>
      <c r="K31" s="46">
        <v>41379335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41379335</v>
      </c>
      <c r="T31" s="46">
        <v>0</v>
      </c>
    </row>
    <row r="32" spans="1:20" ht="21.75">
      <c r="A32" s="45" t="s">
        <v>472</v>
      </c>
      <c r="B32" s="45" t="s">
        <v>219</v>
      </c>
      <c r="C32" s="46">
        <v>0</v>
      </c>
      <c r="D32" s="46">
        <v>0</v>
      </c>
      <c r="E32" s="46">
        <v>0</v>
      </c>
      <c r="F32" s="46">
        <v>-918283</v>
      </c>
      <c r="G32" s="46">
        <v>918283</v>
      </c>
      <c r="H32" s="46">
        <v>0</v>
      </c>
      <c r="I32" s="46">
        <v>0</v>
      </c>
      <c r="J32" s="46">
        <v>1836566</v>
      </c>
      <c r="K32" s="46">
        <v>0</v>
      </c>
      <c r="L32" s="46">
        <v>918283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918283</v>
      </c>
    </row>
    <row r="33" spans="1:20" ht="21.75">
      <c r="A33" s="45" t="s">
        <v>220</v>
      </c>
      <c r="B33" s="45" t="s">
        <v>221</v>
      </c>
      <c r="C33" s="46">
        <v>27533239</v>
      </c>
      <c r="D33" s="46">
        <v>0</v>
      </c>
      <c r="E33" s="46">
        <v>9360000</v>
      </c>
      <c r="F33" s="46">
        <v>11825128</v>
      </c>
      <c r="G33" s="46">
        <v>25068111</v>
      </c>
      <c r="H33" s="46">
        <v>0</v>
      </c>
      <c r="I33" s="46">
        <v>0</v>
      </c>
      <c r="J33" s="46">
        <v>0</v>
      </c>
      <c r="K33" s="46">
        <v>25068111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25068111</v>
      </c>
      <c r="T33" s="46">
        <v>0</v>
      </c>
    </row>
    <row r="34" spans="1:20" ht="21.75">
      <c r="A34" s="45" t="s">
        <v>473</v>
      </c>
      <c r="B34" s="45" t="s">
        <v>222</v>
      </c>
      <c r="C34" s="46">
        <v>69000021</v>
      </c>
      <c r="D34" s="46">
        <v>0</v>
      </c>
      <c r="E34" s="46">
        <v>31909000</v>
      </c>
      <c r="F34" s="46">
        <v>17027499</v>
      </c>
      <c r="G34" s="46">
        <v>83881522</v>
      </c>
      <c r="H34" s="46">
        <v>0</v>
      </c>
      <c r="I34" s="46">
        <v>0</v>
      </c>
      <c r="J34" s="46">
        <v>0</v>
      </c>
      <c r="K34" s="46">
        <v>83881522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83881522</v>
      </c>
      <c r="T34" s="46">
        <v>0</v>
      </c>
    </row>
    <row r="35" spans="1:20" ht="21.75">
      <c r="A35" s="45" t="s">
        <v>474</v>
      </c>
      <c r="B35" s="45" t="s">
        <v>223</v>
      </c>
      <c r="C35" s="46">
        <v>1048500</v>
      </c>
      <c r="D35" s="46">
        <v>0</v>
      </c>
      <c r="E35" s="46">
        <v>0</v>
      </c>
      <c r="F35" s="46">
        <v>0</v>
      </c>
      <c r="G35" s="46">
        <v>1048500</v>
      </c>
      <c r="H35" s="46">
        <v>0</v>
      </c>
      <c r="I35" s="46">
        <v>0</v>
      </c>
      <c r="J35" s="46">
        <v>0</v>
      </c>
      <c r="K35" s="46">
        <v>1048500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1048500</v>
      </c>
      <c r="T35" s="46">
        <v>0</v>
      </c>
    </row>
    <row r="36" spans="1:20" ht="21.75">
      <c r="A36" s="45" t="s">
        <v>475</v>
      </c>
      <c r="B36" s="45" t="s">
        <v>224</v>
      </c>
      <c r="C36" s="46">
        <v>53366992</v>
      </c>
      <c r="D36" s="46">
        <v>0</v>
      </c>
      <c r="E36" s="46">
        <v>22188000</v>
      </c>
      <c r="F36" s="46">
        <v>12926196</v>
      </c>
      <c r="G36" s="46">
        <v>62628796</v>
      </c>
      <c r="H36" s="46">
        <v>0</v>
      </c>
      <c r="I36" s="46">
        <v>0</v>
      </c>
      <c r="J36" s="46">
        <v>0</v>
      </c>
      <c r="K36" s="46">
        <v>62628796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62628796</v>
      </c>
      <c r="T36" s="46">
        <v>0</v>
      </c>
    </row>
    <row r="37" spans="1:20" ht="21.75">
      <c r="A37" s="45" t="s">
        <v>225</v>
      </c>
      <c r="B37" s="45" t="s">
        <v>226</v>
      </c>
      <c r="C37" s="46">
        <v>50000</v>
      </c>
      <c r="D37" s="46">
        <v>0</v>
      </c>
      <c r="E37" s="46">
        <v>205000</v>
      </c>
      <c r="F37" s="46">
        <v>205000</v>
      </c>
      <c r="G37" s="46">
        <v>50000</v>
      </c>
      <c r="H37" s="46">
        <v>0</v>
      </c>
      <c r="I37" s="46">
        <v>0</v>
      </c>
      <c r="J37" s="46">
        <v>0</v>
      </c>
      <c r="K37" s="46">
        <v>50000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50000</v>
      </c>
      <c r="T37" s="46">
        <v>0</v>
      </c>
    </row>
    <row r="38" spans="1:20" ht="21.75">
      <c r="A38" s="45" t="s">
        <v>476</v>
      </c>
      <c r="B38" s="45" t="s">
        <v>227</v>
      </c>
      <c r="C38" s="46">
        <v>57817.11</v>
      </c>
      <c r="D38" s="46">
        <v>0</v>
      </c>
      <c r="E38" s="46">
        <v>1125838.19</v>
      </c>
      <c r="F38" s="46">
        <v>1132481.06</v>
      </c>
      <c r="G38" s="46">
        <v>51174.24</v>
      </c>
      <c r="H38" s="46">
        <v>0</v>
      </c>
      <c r="I38" s="46">
        <v>0</v>
      </c>
      <c r="J38" s="46">
        <v>0</v>
      </c>
      <c r="K38" s="46">
        <v>51174.24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51174.24</v>
      </c>
      <c r="T38" s="46">
        <v>0</v>
      </c>
    </row>
    <row r="39" spans="1:20" ht="21.75">
      <c r="A39" s="45" t="s">
        <v>477</v>
      </c>
      <c r="B39" s="45" t="s">
        <v>228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918283</v>
      </c>
      <c r="J39" s="46">
        <v>0</v>
      </c>
      <c r="K39" s="46">
        <v>918283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918283</v>
      </c>
      <c r="T39" s="46">
        <v>0</v>
      </c>
    </row>
    <row r="40" spans="1:20" ht="21.75">
      <c r="A40" s="45" t="s">
        <v>478</v>
      </c>
      <c r="B40" s="45" t="s">
        <v>479</v>
      </c>
      <c r="C40" s="46">
        <v>10000</v>
      </c>
      <c r="D40" s="46">
        <v>0</v>
      </c>
      <c r="E40" s="46">
        <v>0</v>
      </c>
      <c r="F40" s="46">
        <v>0</v>
      </c>
      <c r="G40" s="46">
        <v>10000</v>
      </c>
      <c r="H40" s="46">
        <v>0</v>
      </c>
      <c r="I40" s="46">
        <v>0</v>
      </c>
      <c r="J40" s="46">
        <v>0</v>
      </c>
      <c r="K40" s="46">
        <v>10000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10000</v>
      </c>
      <c r="T40" s="46">
        <v>0</v>
      </c>
    </row>
    <row r="41" spans="1:20" ht="21.75">
      <c r="A41" s="45" t="s">
        <v>762</v>
      </c>
      <c r="B41" s="45" t="s">
        <v>763</v>
      </c>
      <c r="C41" s="46">
        <v>0</v>
      </c>
      <c r="D41" s="46">
        <v>0</v>
      </c>
      <c r="E41" s="46">
        <v>480</v>
      </c>
      <c r="F41" s="46">
        <v>480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</row>
    <row r="42" spans="1:20" ht="21.75">
      <c r="A42" s="45" t="s">
        <v>229</v>
      </c>
      <c r="B42" s="45" t="s">
        <v>56</v>
      </c>
      <c r="C42" s="46">
        <v>8863358.94</v>
      </c>
      <c r="D42" s="46">
        <v>0</v>
      </c>
      <c r="E42" s="46">
        <v>0</v>
      </c>
      <c r="F42" s="46">
        <v>2929866.58</v>
      </c>
      <c r="G42" s="46">
        <v>5933492.36</v>
      </c>
      <c r="H42" s="46">
        <v>0</v>
      </c>
      <c r="I42" s="46">
        <v>3955246.05</v>
      </c>
      <c r="J42" s="46">
        <v>0</v>
      </c>
      <c r="K42" s="46">
        <v>9888738.41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9888738.41</v>
      </c>
      <c r="T42" s="46">
        <v>0</v>
      </c>
    </row>
    <row r="43" spans="1:20" ht="21.75">
      <c r="A43" s="45" t="s">
        <v>230</v>
      </c>
      <c r="B43" s="45" t="s">
        <v>480</v>
      </c>
      <c r="C43" s="46">
        <v>0</v>
      </c>
      <c r="D43" s="46">
        <v>603049.56</v>
      </c>
      <c r="E43" s="46">
        <v>0</v>
      </c>
      <c r="F43" s="46">
        <v>0</v>
      </c>
      <c r="G43" s="46">
        <v>0</v>
      </c>
      <c r="H43" s="46">
        <v>603049.56</v>
      </c>
      <c r="I43" s="46">
        <v>0</v>
      </c>
      <c r="J43" s="46">
        <v>62490.02</v>
      </c>
      <c r="K43" s="46">
        <v>0</v>
      </c>
      <c r="L43" s="46">
        <v>665539.58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665539.58</v>
      </c>
    </row>
    <row r="44" spans="1:20" ht="21.75">
      <c r="A44" s="45" t="s">
        <v>481</v>
      </c>
      <c r="B44" s="45" t="s">
        <v>360</v>
      </c>
      <c r="C44" s="46">
        <v>735595.95</v>
      </c>
      <c r="D44" s="46">
        <v>0</v>
      </c>
      <c r="E44" s="46">
        <v>0</v>
      </c>
      <c r="F44" s="46">
        <v>0</v>
      </c>
      <c r="G44" s="46">
        <v>735595.95</v>
      </c>
      <c r="H44" s="46">
        <v>0</v>
      </c>
      <c r="I44" s="46">
        <v>0</v>
      </c>
      <c r="J44" s="46">
        <v>735595.95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</row>
    <row r="45" spans="1:20" ht="21.75">
      <c r="A45" s="45" t="s">
        <v>482</v>
      </c>
      <c r="B45" s="45" t="s">
        <v>483</v>
      </c>
      <c r="C45" s="46">
        <v>575313.75</v>
      </c>
      <c r="D45" s="46">
        <v>0</v>
      </c>
      <c r="E45" s="46">
        <v>0</v>
      </c>
      <c r="F45" s="46">
        <v>0</v>
      </c>
      <c r="G45" s="46">
        <v>575313.75</v>
      </c>
      <c r="H45" s="46">
        <v>0</v>
      </c>
      <c r="I45" s="46">
        <v>735595.95</v>
      </c>
      <c r="J45" s="46">
        <v>0</v>
      </c>
      <c r="K45" s="46">
        <v>1310909.7</v>
      </c>
      <c r="L45" s="46">
        <v>0</v>
      </c>
      <c r="M45" s="46">
        <v>0</v>
      </c>
      <c r="N45" s="46">
        <v>0</v>
      </c>
      <c r="O45" s="46">
        <v>1310909.7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</row>
    <row r="46" spans="1:20" ht="21.75">
      <c r="A46" s="45" t="s">
        <v>231</v>
      </c>
      <c r="B46" s="45" t="s">
        <v>5</v>
      </c>
      <c r="C46" s="46">
        <v>75065.17</v>
      </c>
      <c r="D46" s="46">
        <v>0</v>
      </c>
      <c r="E46" s="46">
        <v>98497</v>
      </c>
      <c r="F46" s="46">
        <v>2700</v>
      </c>
      <c r="G46" s="46">
        <v>170862.17</v>
      </c>
      <c r="H46" s="46">
        <v>0</v>
      </c>
      <c r="I46" s="46">
        <v>0</v>
      </c>
      <c r="J46" s="46">
        <v>47557.15</v>
      </c>
      <c r="K46" s="46">
        <v>123305.02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123305.02</v>
      </c>
      <c r="T46" s="46">
        <v>0</v>
      </c>
    </row>
    <row r="47" spans="1:20" ht="21.75">
      <c r="A47" s="45" t="s">
        <v>484</v>
      </c>
      <c r="B47" s="45" t="s">
        <v>485</v>
      </c>
      <c r="C47" s="46">
        <v>6107.89</v>
      </c>
      <c r="D47" s="46">
        <v>0</v>
      </c>
      <c r="E47" s="46">
        <v>64461.19</v>
      </c>
      <c r="F47" s="46">
        <v>0</v>
      </c>
      <c r="G47" s="46">
        <v>70569.08</v>
      </c>
      <c r="H47" s="46">
        <v>0</v>
      </c>
      <c r="I47" s="46">
        <v>0</v>
      </c>
      <c r="J47" s="46">
        <v>0</v>
      </c>
      <c r="K47" s="46">
        <v>70569.08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70569.08</v>
      </c>
      <c r="T47" s="46">
        <v>0</v>
      </c>
    </row>
    <row r="48" spans="1:20" ht="21.75">
      <c r="A48" s="45" t="s">
        <v>232</v>
      </c>
      <c r="B48" s="45" t="s">
        <v>140</v>
      </c>
      <c r="C48" s="46">
        <v>0</v>
      </c>
      <c r="D48" s="46">
        <v>33572.18</v>
      </c>
      <c r="E48" s="46">
        <v>135497.03</v>
      </c>
      <c r="F48" s="46">
        <v>117389.86</v>
      </c>
      <c r="G48" s="46">
        <v>0</v>
      </c>
      <c r="H48" s="46">
        <v>15465.01</v>
      </c>
      <c r="I48" s="46">
        <v>0</v>
      </c>
      <c r="J48" s="46">
        <v>0</v>
      </c>
      <c r="K48" s="46">
        <v>0</v>
      </c>
      <c r="L48" s="46">
        <v>15465.01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15465.01</v>
      </c>
    </row>
    <row r="49" spans="1:20" ht="21.75">
      <c r="A49" s="45" t="s">
        <v>486</v>
      </c>
      <c r="B49" s="45" t="s">
        <v>487</v>
      </c>
      <c r="C49" s="46">
        <v>0</v>
      </c>
      <c r="D49" s="46">
        <v>66408.64</v>
      </c>
      <c r="E49" s="46">
        <v>304175.37</v>
      </c>
      <c r="F49" s="46">
        <v>293791.32</v>
      </c>
      <c r="G49" s="46">
        <v>0</v>
      </c>
      <c r="H49" s="46">
        <v>56024.59</v>
      </c>
      <c r="I49" s="46">
        <v>0</v>
      </c>
      <c r="J49" s="46">
        <v>0</v>
      </c>
      <c r="K49" s="46">
        <v>0</v>
      </c>
      <c r="L49" s="46">
        <v>56024.59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56024.59</v>
      </c>
    </row>
    <row r="50" spans="1:20" ht="21.75">
      <c r="A50" s="45" t="s">
        <v>488</v>
      </c>
      <c r="B50" s="45" t="s">
        <v>489</v>
      </c>
      <c r="C50" s="46">
        <v>0</v>
      </c>
      <c r="D50" s="46">
        <v>2836.64</v>
      </c>
      <c r="E50" s="46">
        <v>19165.45</v>
      </c>
      <c r="F50" s="46">
        <v>17706.82</v>
      </c>
      <c r="G50" s="46">
        <v>0</v>
      </c>
      <c r="H50" s="46">
        <v>1378.01</v>
      </c>
      <c r="I50" s="46">
        <v>0</v>
      </c>
      <c r="J50" s="46">
        <v>0</v>
      </c>
      <c r="K50" s="46">
        <v>0</v>
      </c>
      <c r="L50" s="46">
        <v>1378.01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1378.01</v>
      </c>
    </row>
    <row r="51" spans="1:20" ht="21.75">
      <c r="A51" s="45" t="s">
        <v>233</v>
      </c>
      <c r="B51" s="45" t="s">
        <v>63</v>
      </c>
      <c r="C51" s="46">
        <v>700724</v>
      </c>
      <c r="D51" s="46">
        <v>0</v>
      </c>
      <c r="E51" s="46">
        <v>0</v>
      </c>
      <c r="F51" s="46">
        <v>511727.27</v>
      </c>
      <c r="G51" s="46">
        <v>188996.73</v>
      </c>
      <c r="H51" s="46">
        <v>0</v>
      </c>
      <c r="I51" s="46">
        <v>307886.18</v>
      </c>
      <c r="J51" s="46">
        <v>0</v>
      </c>
      <c r="K51" s="46">
        <v>496882.91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496882.91</v>
      </c>
      <c r="T51" s="46">
        <v>0</v>
      </c>
    </row>
    <row r="52" spans="1:20" ht="21.75">
      <c r="A52" s="45" t="s">
        <v>234</v>
      </c>
      <c r="B52" s="45" t="s">
        <v>490</v>
      </c>
      <c r="C52" s="46">
        <v>0</v>
      </c>
      <c r="D52" s="46">
        <v>700724</v>
      </c>
      <c r="E52" s="46">
        <v>0</v>
      </c>
      <c r="F52" s="46">
        <v>0</v>
      </c>
      <c r="G52" s="46">
        <v>0</v>
      </c>
      <c r="H52" s="46">
        <v>700724</v>
      </c>
      <c r="I52" s="46">
        <v>203841.09</v>
      </c>
      <c r="J52" s="46">
        <v>0</v>
      </c>
      <c r="K52" s="46">
        <v>0</v>
      </c>
      <c r="L52" s="46">
        <v>496882.91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496882.91</v>
      </c>
    </row>
    <row r="53" spans="1:20" ht="21.75">
      <c r="A53" s="45" t="s">
        <v>235</v>
      </c>
      <c r="B53" s="45" t="s">
        <v>126</v>
      </c>
      <c r="C53" s="46">
        <v>0</v>
      </c>
      <c r="D53" s="46">
        <v>0</v>
      </c>
      <c r="E53" s="46">
        <v>675413.3</v>
      </c>
      <c r="F53" s="46">
        <v>0</v>
      </c>
      <c r="G53" s="46">
        <v>675413.3</v>
      </c>
      <c r="H53" s="46">
        <v>0</v>
      </c>
      <c r="I53" s="46">
        <v>61323.69</v>
      </c>
      <c r="J53" s="46">
        <v>0</v>
      </c>
      <c r="K53" s="46">
        <v>736736.99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736736.99</v>
      </c>
      <c r="T53" s="46">
        <v>0</v>
      </c>
    </row>
    <row r="54" spans="1:20" ht="21.75">
      <c r="A54" s="45" t="s">
        <v>764</v>
      </c>
      <c r="B54" s="45" t="s">
        <v>765</v>
      </c>
      <c r="C54" s="46">
        <v>0</v>
      </c>
      <c r="D54" s="46">
        <v>0</v>
      </c>
      <c r="E54" s="46">
        <v>0</v>
      </c>
      <c r="F54" s="46">
        <v>-736736.99</v>
      </c>
      <c r="G54" s="46">
        <v>736736.99</v>
      </c>
      <c r="H54" s="46">
        <v>0</v>
      </c>
      <c r="I54" s="46">
        <v>0</v>
      </c>
      <c r="J54" s="46">
        <v>736736.99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</row>
    <row r="55" spans="1:20" ht="21.75">
      <c r="A55" s="45" t="s">
        <v>236</v>
      </c>
      <c r="B55" s="45" t="s">
        <v>237</v>
      </c>
      <c r="C55" s="46">
        <v>0</v>
      </c>
      <c r="D55" s="46">
        <v>0</v>
      </c>
      <c r="E55" s="46">
        <v>1191131.56</v>
      </c>
      <c r="F55" s="46">
        <v>1191131.56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</row>
    <row r="56" spans="1:20" ht="21.75">
      <c r="A56" s="45" t="s">
        <v>491</v>
      </c>
      <c r="B56" s="45" t="s">
        <v>492</v>
      </c>
      <c r="C56" s="46">
        <v>0</v>
      </c>
      <c r="D56" s="46">
        <v>0</v>
      </c>
      <c r="E56" s="46">
        <v>7510048.67</v>
      </c>
      <c r="F56" s="46">
        <v>7510048.67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ht="21.75">
      <c r="A57" s="45" t="s">
        <v>766</v>
      </c>
      <c r="B57" s="45" t="s">
        <v>767</v>
      </c>
      <c r="C57" s="46">
        <v>0</v>
      </c>
      <c r="D57" s="46">
        <v>0</v>
      </c>
      <c r="E57" s="46">
        <v>4298</v>
      </c>
      <c r="F57" s="46">
        <v>4298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</row>
    <row r="58" spans="1:20" ht="21.75">
      <c r="A58" s="45" t="s">
        <v>493</v>
      </c>
      <c r="B58" s="45" t="s">
        <v>348</v>
      </c>
      <c r="C58" s="46">
        <v>0</v>
      </c>
      <c r="D58" s="46">
        <v>0</v>
      </c>
      <c r="E58" s="46">
        <v>8126.76</v>
      </c>
      <c r="F58" s="46">
        <v>8126.76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</row>
    <row r="59" spans="1:20" ht="21.75">
      <c r="A59" s="45" t="s">
        <v>494</v>
      </c>
      <c r="B59" s="45" t="s">
        <v>349</v>
      </c>
      <c r="C59" s="46">
        <v>0</v>
      </c>
      <c r="D59" s="46">
        <v>0</v>
      </c>
      <c r="E59" s="46">
        <v>8518.61</v>
      </c>
      <c r="F59" s="46">
        <v>8518.61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</row>
    <row r="60" spans="1:20" ht="21.75">
      <c r="A60" s="45" t="s">
        <v>495</v>
      </c>
      <c r="B60" s="45" t="s">
        <v>410</v>
      </c>
      <c r="C60" s="46">
        <v>0</v>
      </c>
      <c r="D60" s="46">
        <v>0</v>
      </c>
      <c r="E60" s="46">
        <v>17.01</v>
      </c>
      <c r="F60" s="46">
        <v>17.01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</row>
    <row r="61" spans="1:20" ht="21.75">
      <c r="A61" s="45" t="s">
        <v>496</v>
      </c>
      <c r="B61" s="45" t="s">
        <v>497</v>
      </c>
      <c r="C61" s="46">
        <v>0</v>
      </c>
      <c r="D61" s="46">
        <v>0</v>
      </c>
      <c r="E61" s="46">
        <v>4227.11</v>
      </c>
      <c r="F61" s="46">
        <v>4227.11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</row>
    <row r="62" spans="1:20" ht="21.75">
      <c r="A62" s="45" t="s">
        <v>768</v>
      </c>
      <c r="B62" s="45" t="s">
        <v>769</v>
      </c>
      <c r="C62" s="46">
        <v>0</v>
      </c>
      <c r="D62" s="46">
        <v>0</v>
      </c>
      <c r="E62" s="46">
        <v>16535.97</v>
      </c>
      <c r="F62" s="46">
        <v>16535.97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</row>
    <row r="63" spans="1:20" ht="21.75">
      <c r="A63" s="45" t="s">
        <v>238</v>
      </c>
      <c r="B63" s="45" t="s">
        <v>239</v>
      </c>
      <c r="C63" s="46">
        <v>25713.41</v>
      </c>
      <c r="D63" s="46">
        <v>0</v>
      </c>
      <c r="E63" s="46">
        <v>0</v>
      </c>
      <c r="F63" s="46">
        <v>0</v>
      </c>
      <c r="G63" s="46">
        <v>25713.41</v>
      </c>
      <c r="H63" s="46">
        <v>0</v>
      </c>
      <c r="I63" s="46">
        <v>0</v>
      </c>
      <c r="J63" s="46">
        <v>2233.19</v>
      </c>
      <c r="K63" s="46">
        <v>23480.22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23480.22</v>
      </c>
      <c r="T63" s="46">
        <v>0</v>
      </c>
    </row>
    <row r="64" spans="1:20" ht="21.75">
      <c r="A64" s="45" t="s">
        <v>770</v>
      </c>
      <c r="B64" s="45" t="s">
        <v>771</v>
      </c>
      <c r="C64" s="46">
        <v>0</v>
      </c>
      <c r="D64" s="46">
        <v>0</v>
      </c>
      <c r="E64" s="46">
        <v>169715</v>
      </c>
      <c r="F64" s="46">
        <v>169715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</row>
    <row r="65" spans="1:20" ht="21.75">
      <c r="A65" s="45" t="s">
        <v>772</v>
      </c>
      <c r="B65" s="45" t="s">
        <v>773</v>
      </c>
      <c r="C65" s="46">
        <v>0</v>
      </c>
      <c r="D65" s="46">
        <v>0</v>
      </c>
      <c r="E65" s="46">
        <v>336</v>
      </c>
      <c r="F65" s="46">
        <v>336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</row>
    <row r="66" spans="1:20" ht="21.75">
      <c r="A66" s="45" t="s">
        <v>774</v>
      </c>
      <c r="B66" s="45" t="s">
        <v>775</v>
      </c>
      <c r="C66" s="46">
        <v>0</v>
      </c>
      <c r="D66" s="46">
        <v>0</v>
      </c>
      <c r="E66" s="46">
        <v>33670</v>
      </c>
      <c r="F66" s="46">
        <v>33670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</row>
    <row r="67" spans="1:20" ht="21.75">
      <c r="A67" s="45" t="s">
        <v>498</v>
      </c>
      <c r="B67" s="45" t="s">
        <v>776</v>
      </c>
      <c r="C67" s="46">
        <v>480.3</v>
      </c>
      <c r="D67" s="46">
        <v>0</v>
      </c>
      <c r="E67" s="46">
        <v>0</v>
      </c>
      <c r="F67" s="46">
        <v>480.3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</row>
    <row r="68" spans="1:20" ht="21.75">
      <c r="A68" s="45" t="s">
        <v>777</v>
      </c>
      <c r="B68" s="45" t="s">
        <v>685</v>
      </c>
      <c r="C68" s="46">
        <v>0</v>
      </c>
      <c r="D68" s="46">
        <v>7073.66</v>
      </c>
      <c r="E68" s="46">
        <v>0</v>
      </c>
      <c r="F68" s="46">
        <v>0</v>
      </c>
      <c r="G68" s="46">
        <v>0</v>
      </c>
      <c r="H68" s="46">
        <v>7073.66</v>
      </c>
      <c r="I68" s="46">
        <v>0</v>
      </c>
      <c r="J68" s="46">
        <v>130738.85</v>
      </c>
      <c r="K68" s="46">
        <v>0</v>
      </c>
      <c r="L68" s="46">
        <v>137812.51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137812.51</v>
      </c>
    </row>
    <row r="69" spans="1:20" ht="21.75">
      <c r="A69" s="45" t="s">
        <v>499</v>
      </c>
      <c r="B69" s="45" t="s">
        <v>3</v>
      </c>
      <c r="C69" s="46">
        <v>8202755</v>
      </c>
      <c r="D69" s="46">
        <v>0</v>
      </c>
      <c r="E69" s="46">
        <v>0</v>
      </c>
      <c r="F69" s="46">
        <v>0</v>
      </c>
      <c r="G69" s="46">
        <v>8202755</v>
      </c>
      <c r="H69" s="46">
        <v>0</v>
      </c>
      <c r="I69" s="46">
        <v>0</v>
      </c>
      <c r="J69" s="46">
        <v>0</v>
      </c>
      <c r="K69" s="46">
        <v>8202755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8202755</v>
      </c>
      <c r="T69" s="46">
        <v>0</v>
      </c>
    </row>
    <row r="70" spans="1:20" ht="21.75">
      <c r="A70" s="45" t="s">
        <v>240</v>
      </c>
      <c r="B70" s="45" t="s">
        <v>500</v>
      </c>
      <c r="C70" s="46">
        <v>9022333.88</v>
      </c>
      <c r="D70" s="46">
        <v>0</v>
      </c>
      <c r="E70" s="46">
        <v>2622753</v>
      </c>
      <c r="F70" s="46">
        <v>9900</v>
      </c>
      <c r="G70" s="46">
        <v>11635186.88</v>
      </c>
      <c r="H70" s="46">
        <v>0</v>
      </c>
      <c r="I70" s="46">
        <v>0</v>
      </c>
      <c r="J70" s="46">
        <v>3297367.6</v>
      </c>
      <c r="K70" s="46">
        <v>8337819.28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8337819.28</v>
      </c>
      <c r="T70" s="46">
        <v>0</v>
      </c>
    </row>
    <row r="71" spans="1:20" ht="21.75">
      <c r="A71" s="45" t="s">
        <v>778</v>
      </c>
      <c r="B71" s="45" t="s">
        <v>779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2612853</v>
      </c>
      <c r="J71" s="46">
        <v>0</v>
      </c>
      <c r="K71" s="46">
        <v>2612853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2612853</v>
      </c>
      <c r="T71" s="46">
        <v>0</v>
      </c>
    </row>
    <row r="72" spans="1:20" ht="21.75">
      <c r="A72" s="45" t="s">
        <v>241</v>
      </c>
      <c r="B72" s="45" t="s">
        <v>4</v>
      </c>
      <c r="C72" s="46">
        <v>2532136.89</v>
      </c>
      <c r="D72" s="46">
        <v>0</v>
      </c>
      <c r="E72" s="46">
        <v>0</v>
      </c>
      <c r="F72" s="46">
        <v>0</v>
      </c>
      <c r="G72" s="46">
        <v>2532136.89</v>
      </c>
      <c r="H72" s="46">
        <v>0</v>
      </c>
      <c r="I72" s="46">
        <v>0</v>
      </c>
      <c r="J72" s="46">
        <v>534800</v>
      </c>
      <c r="K72" s="46">
        <v>1997336.89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1997336.89</v>
      </c>
      <c r="T72" s="46">
        <v>0</v>
      </c>
    </row>
    <row r="73" spans="1:20" ht="21.75">
      <c r="A73" s="45" t="s">
        <v>242</v>
      </c>
      <c r="B73" s="45" t="s">
        <v>243</v>
      </c>
      <c r="C73" s="46">
        <v>748218.79</v>
      </c>
      <c r="D73" s="46">
        <v>0</v>
      </c>
      <c r="E73" s="46">
        <v>584718</v>
      </c>
      <c r="F73" s="46">
        <v>6900</v>
      </c>
      <c r="G73" s="46">
        <v>1326036.79</v>
      </c>
      <c r="H73" s="46">
        <v>0</v>
      </c>
      <c r="I73" s="46">
        <v>0</v>
      </c>
      <c r="J73" s="46">
        <v>971749.67</v>
      </c>
      <c r="K73" s="46">
        <v>354287.12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354287.12</v>
      </c>
      <c r="T73" s="46">
        <v>0</v>
      </c>
    </row>
    <row r="74" spans="1:20" ht="21.75">
      <c r="A74" s="45" t="s">
        <v>780</v>
      </c>
      <c r="B74" s="45" t="s">
        <v>781</v>
      </c>
      <c r="C74" s="46">
        <v>56140</v>
      </c>
      <c r="D74" s="46">
        <v>0</v>
      </c>
      <c r="E74" s="46">
        <v>0</v>
      </c>
      <c r="F74" s="46">
        <v>0</v>
      </c>
      <c r="G74" s="46">
        <v>56140</v>
      </c>
      <c r="H74" s="46">
        <v>0</v>
      </c>
      <c r="I74" s="46">
        <v>577818</v>
      </c>
      <c r="J74" s="46">
        <v>0</v>
      </c>
      <c r="K74" s="46">
        <v>633958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633958</v>
      </c>
      <c r="T74" s="46">
        <v>0</v>
      </c>
    </row>
    <row r="75" spans="1:20" ht="21.75">
      <c r="A75" s="45" t="s">
        <v>244</v>
      </c>
      <c r="B75" s="45" t="s">
        <v>245</v>
      </c>
      <c r="C75" s="46">
        <v>20000</v>
      </c>
      <c r="D75" s="46">
        <v>0</v>
      </c>
      <c r="E75" s="46">
        <v>0</v>
      </c>
      <c r="F75" s="46">
        <v>0</v>
      </c>
      <c r="G75" s="46">
        <v>20000</v>
      </c>
      <c r="H75" s="46">
        <v>0</v>
      </c>
      <c r="I75" s="46">
        <v>0</v>
      </c>
      <c r="J75" s="46">
        <v>0</v>
      </c>
      <c r="K75" s="46">
        <v>20000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20000</v>
      </c>
      <c r="T75" s="46">
        <v>0</v>
      </c>
    </row>
    <row r="76" spans="1:20" ht="21.75">
      <c r="A76" s="45" t="s">
        <v>501</v>
      </c>
      <c r="B76" s="45" t="s">
        <v>395</v>
      </c>
      <c r="C76" s="46">
        <v>52000</v>
      </c>
      <c r="D76" s="46">
        <v>0</v>
      </c>
      <c r="E76" s="46">
        <v>0</v>
      </c>
      <c r="F76" s="46">
        <v>0</v>
      </c>
      <c r="G76" s="46">
        <v>52000</v>
      </c>
      <c r="H76" s="46">
        <v>0</v>
      </c>
      <c r="I76" s="46">
        <v>0</v>
      </c>
      <c r="J76" s="46">
        <v>52000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</row>
    <row r="77" spans="1:20" ht="21.75">
      <c r="A77" s="45" t="s">
        <v>502</v>
      </c>
      <c r="B77" s="45" t="s">
        <v>503</v>
      </c>
      <c r="C77" s="46">
        <v>54193.32</v>
      </c>
      <c r="D77" s="46">
        <v>0</v>
      </c>
      <c r="E77" s="46">
        <v>0</v>
      </c>
      <c r="F77" s="46">
        <v>0</v>
      </c>
      <c r="G77" s="46">
        <v>54193.32</v>
      </c>
      <c r="H77" s="46">
        <v>0</v>
      </c>
      <c r="I77" s="46">
        <v>0</v>
      </c>
      <c r="J77" s="46">
        <v>18064.44</v>
      </c>
      <c r="K77" s="46">
        <v>36128.88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36128.88</v>
      </c>
      <c r="T77" s="46">
        <v>0</v>
      </c>
    </row>
    <row r="78" spans="1:20" ht="21.75">
      <c r="A78" s="45" t="s">
        <v>782</v>
      </c>
      <c r="B78" s="45" t="s">
        <v>783</v>
      </c>
      <c r="C78" s="46">
        <v>0</v>
      </c>
      <c r="D78" s="46">
        <v>0</v>
      </c>
      <c r="E78" s="46">
        <v>80000</v>
      </c>
      <c r="F78" s="46">
        <v>0</v>
      </c>
      <c r="G78" s="46">
        <v>80000</v>
      </c>
      <c r="H78" s="46">
        <v>0</v>
      </c>
      <c r="I78" s="46">
        <v>0</v>
      </c>
      <c r="J78" s="46">
        <v>16000</v>
      </c>
      <c r="K78" s="46">
        <v>64000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64000</v>
      </c>
      <c r="T78" s="46">
        <v>0</v>
      </c>
    </row>
    <row r="79" spans="1:20" ht="21.75">
      <c r="A79" s="45" t="s">
        <v>246</v>
      </c>
      <c r="B79" s="45" t="s">
        <v>247</v>
      </c>
      <c r="C79" s="46">
        <v>120000</v>
      </c>
      <c r="D79" s="46">
        <v>0</v>
      </c>
      <c r="E79" s="46">
        <v>0</v>
      </c>
      <c r="F79" s="46">
        <v>0</v>
      </c>
      <c r="G79" s="46">
        <v>120000</v>
      </c>
      <c r="H79" s="46">
        <v>0</v>
      </c>
      <c r="I79" s="46">
        <v>0</v>
      </c>
      <c r="J79" s="46">
        <v>0</v>
      </c>
      <c r="K79" s="46">
        <v>120000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120000</v>
      </c>
      <c r="T79" s="46">
        <v>0</v>
      </c>
    </row>
    <row r="80" spans="1:20" ht="21.75">
      <c r="A80" s="45" t="s">
        <v>248</v>
      </c>
      <c r="B80" s="45" t="s">
        <v>249</v>
      </c>
      <c r="C80" s="46">
        <v>0</v>
      </c>
      <c r="D80" s="46">
        <v>109062113.3</v>
      </c>
      <c r="E80" s="46">
        <v>262807002.1</v>
      </c>
      <c r="F80" s="46">
        <v>286770424</v>
      </c>
      <c r="G80" s="46">
        <v>0</v>
      </c>
      <c r="H80" s="46">
        <v>133025535.2</v>
      </c>
      <c r="I80" s="46">
        <v>0</v>
      </c>
      <c r="J80" s="46">
        <v>0</v>
      </c>
      <c r="K80" s="46">
        <v>0</v>
      </c>
      <c r="L80" s="46">
        <v>133025535.2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133025535.2</v>
      </c>
    </row>
    <row r="81" spans="1:20" ht="21.75">
      <c r="A81" s="45" t="s">
        <v>504</v>
      </c>
      <c r="B81" s="45" t="s">
        <v>505</v>
      </c>
      <c r="C81" s="46">
        <v>0</v>
      </c>
      <c r="D81" s="46">
        <v>14999999.68</v>
      </c>
      <c r="E81" s="46">
        <v>37814037.31</v>
      </c>
      <c r="F81" s="46">
        <v>37814037</v>
      </c>
      <c r="G81" s="46">
        <v>0</v>
      </c>
      <c r="H81" s="46">
        <v>14999999.37</v>
      </c>
      <c r="I81" s="46">
        <v>0</v>
      </c>
      <c r="J81" s="46">
        <v>0</v>
      </c>
      <c r="K81" s="46">
        <v>0</v>
      </c>
      <c r="L81" s="46">
        <v>14999999.37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14999999.37</v>
      </c>
    </row>
    <row r="82" spans="1:20" ht="21.75">
      <c r="A82" s="45" t="s">
        <v>506</v>
      </c>
      <c r="B82" s="45" t="s">
        <v>507</v>
      </c>
      <c r="C82" s="46">
        <v>0</v>
      </c>
      <c r="D82" s="46">
        <v>74968776.09</v>
      </c>
      <c r="E82" s="46">
        <v>63581599.03</v>
      </c>
      <c r="F82" s="46">
        <v>61818000</v>
      </c>
      <c r="G82" s="46">
        <v>0</v>
      </c>
      <c r="H82" s="46">
        <v>73205177.06</v>
      </c>
      <c r="I82" s="46">
        <v>0</v>
      </c>
      <c r="J82" s="46">
        <v>0</v>
      </c>
      <c r="K82" s="46">
        <v>0</v>
      </c>
      <c r="L82" s="46">
        <v>73205177.06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73205177.06</v>
      </c>
    </row>
    <row r="83" spans="1:20" ht="21.75">
      <c r="A83" s="45" t="s">
        <v>508</v>
      </c>
      <c r="B83" s="45" t="s">
        <v>250</v>
      </c>
      <c r="C83" s="46">
        <v>0</v>
      </c>
      <c r="D83" s="46">
        <v>3000000</v>
      </c>
      <c r="E83" s="46">
        <v>3000000</v>
      </c>
      <c r="F83" s="46">
        <v>3000000</v>
      </c>
      <c r="G83" s="46">
        <v>0</v>
      </c>
      <c r="H83" s="46">
        <v>3000000</v>
      </c>
      <c r="I83" s="46">
        <v>0</v>
      </c>
      <c r="J83" s="46">
        <v>0</v>
      </c>
      <c r="K83" s="46">
        <v>0</v>
      </c>
      <c r="L83" s="46">
        <v>3000000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3000000</v>
      </c>
    </row>
    <row r="84" spans="1:20" ht="21.75">
      <c r="A84" s="45" t="s">
        <v>509</v>
      </c>
      <c r="B84" s="45" t="s">
        <v>510</v>
      </c>
      <c r="C84" s="46">
        <v>0</v>
      </c>
      <c r="D84" s="46">
        <v>4970000</v>
      </c>
      <c r="E84" s="46">
        <v>4970000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</row>
    <row r="85" spans="1:20" ht="21.75">
      <c r="A85" s="45" t="s">
        <v>784</v>
      </c>
      <c r="B85" s="45" t="s">
        <v>785</v>
      </c>
      <c r="C85" s="46">
        <v>0</v>
      </c>
      <c r="D85" s="46">
        <v>0</v>
      </c>
      <c r="E85" s="46">
        <v>0</v>
      </c>
      <c r="F85" s="46">
        <v>2500000</v>
      </c>
      <c r="G85" s="46">
        <v>0</v>
      </c>
      <c r="H85" s="46">
        <v>2500000</v>
      </c>
      <c r="I85" s="46">
        <v>0</v>
      </c>
      <c r="J85" s="46">
        <v>0</v>
      </c>
      <c r="K85" s="46">
        <v>0</v>
      </c>
      <c r="L85" s="46">
        <v>2500000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2500000</v>
      </c>
    </row>
    <row r="86" spans="1:20" ht="21.75">
      <c r="A86" s="45" t="s">
        <v>511</v>
      </c>
      <c r="B86" s="45" t="s">
        <v>426</v>
      </c>
      <c r="C86" s="46">
        <v>0</v>
      </c>
      <c r="D86" s="46">
        <v>1500000</v>
      </c>
      <c r="E86" s="46">
        <v>1500000</v>
      </c>
      <c r="F86" s="46">
        <v>5000000</v>
      </c>
      <c r="G86" s="46">
        <v>0</v>
      </c>
      <c r="H86" s="46">
        <v>5000000</v>
      </c>
      <c r="I86" s="46">
        <v>0</v>
      </c>
      <c r="J86" s="46">
        <v>0</v>
      </c>
      <c r="K86" s="46">
        <v>0</v>
      </c>
      <c r="L86" s="46">
        <v>5000000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5000000</v>
      </c>
    </row>
    <row r="87" spans="1:20" ht="21.75">
      <c r="A87" s="45" t="s">
        <v>251</v>
      </c>
      <c r="B87" s="45" t="s">
        <v>83</v>
      </c>
      <c r="C87" s="46">
        <v>0</v>
      </c>
      <c r="D87" s="46">
        <v>0</v>
      </c>
      <c r="E87" s="46">
        <v>3297355</v>
      </c>
      <c r="F87" s="46">
        <v>3297355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</row>
    <row r="88" spans="1:20" ht="21.75">
      <c r="A88" s="45" t="s">
        <v>252</v>
      </c>
      <c r="B88" s="45" t="s">
        <v>58</v>
      </c>
      <c r="C88" s="46">
        <v>0</v>
      </c>
      <c r="D88" s="46">
        <v>13382613.13</v>
      </c>
      <c r="E88" s="46">
        <v>53597266.26</v>
      </c>
      <c r="F88" s="46">
        <v>52100147.59</v>
      </c>
      <c r="G88" s="46">
        <v>0</v>
      </c>
      <c r="H88" s="46">
        <v>11885494.46</v>
      </c>
      <c r="I88" s="46">
        <v>46974.64</v>
      </c>
      <c r="J88" s="46">
        <v>237454.98</v>
      </c>
      <c r="K88" s="46">
        <v>0</v>
      </c>
      <c r="L88" s="46">
        <v>12075974.8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12075974.8</v>
      </c>
    </row>
    <row r="89" spans="1:20" ht="21.75">
      <c r="A89" s="45" t="s">
        <v>253</v>
      </c>
      <c r="B89" s="45" t="s">
        <v>512</v>
      </c>
      <c r="C89" s="46">
        <v>0</v>
      </c>
      <c r="D89" s="46">
        <v>85549132.97</v>
      </c>
      <c r="E89" s="46">
        <v>45634194.43</v>
      </c>
      <c r="F89" s="46">
        <v>58571569.2</v>
      </c>
      <c r="G89" s="46">
        <v>0</v>
      </c>
      <c r="H89" s="46">
        <v>98486507.74</v>
      </c>
      <c r="I89" s="46">
        <v>3589.95</v>
      </c>
      <c r="J89" s="46">
        <v>1895071</v>
      </c>
      <c r="K89" s="46">
        <v>0</v>
      </c>
      <c r="L89" s="46">
        <v>100377988.79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100377988.79</v>
      </c>
    </row>
    <row r="90" spans="1:20" ht="21.75">
      <c r="A90" s="45" t="s">
        <v>254</v>
      </c>
      <c r="B90" s="45" t="s">
        <v>255</v>
      </c>
      <c r="C90" s="46">
        <v>0</v>
      </c>
      <c r="D90" s="46">
        <v>0</v>
      </c>
      <c r="E90" s="46">
        <v>30000</v>
      </c>
      <c r="F90" s="46">
        <v>30000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</row>
    <row r="91" spans="1:20" ht="21.75">
      <c r="A91" s="45" t="s">
        <v>513</v>
      </c>
      <c r="B91" s="45" t="s">
        <v>514</v>
      </c>
      <c r="C91" s="46">
        <v>0</v>
      </c>
      <c r="D91" s="46">
        <v>54822.19</v>
      </c>
      <c r="E91" s="46">
        <v>54822.19</v>
      </c>
      <c r="F91" s="46">
        <v>0</v>
      </c>
      <c r="G91" s="46">
        <v>0</v>
      </c>
      <c r="H91" s="46">
        <v>0</v>
      </c>
      <c r="I91" s="46">
        <v>0</v>
      </c>
      <c r="J91" s="46">
        <v>44438.36</v>
      </c>
      <c r="K91" s="46">
        <v>0</v>
      </c>
      <c r="L91" s="46">
        <v>44438.36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44438.36</v>
      </c>
    </row>
    <row r="92" spans="1:20" ht="21.75">
      <c r="A92" s="45" t="s">
        <v>256</v>
      </c>
      <c r="B92" s="45" t="s">
        <v>129</v>
      </c>
      <c r="C92" s="46">
        <v>0</v>
      </c>
      <c r="D92" s="46">
        <v>2700</v>
      </c>
      <c r="E92" s="46">
        <v>41982.26</v>
      </c>
      <c r="F92" s="46">
        <v>41982.26</v>
      </c>
      <c r="G92" s="46">
        <v>0</v>
      </c>
      <c r="H92" s="46">
        <v>2700</v>
      </c>
      <c r="I92" s="46">
        <v>0</v>
      </c>
      <c r="J92" s="46">
        <v>0</v>
      </c>
      <c r="K92" s="46">
        <v>0</v>
      </c>
      <c r="L92" s="46">
        <v>2700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2700</v>
      </c>
    </row>
    <row r="93" spans="1:20" ht="21.75">
      <c r="A93" s="45" t="s">
        <v>515</v>
      </c>
      <c r="B93" s="45" t="s">
        <v>516</v>
      </c>
      <c r="C93" s="46">
        <v>0</v>
      </c>
      <c r="D93" s="46">
        <v>85081.51</v>
      </c>
      <c r="E93" s="46">
        <v>10071.85</v>
      </c>
      <c r="F93" s="46">
        <v>0</v>
      </c>
      <c r="G93" s="46">
        <v>0</v>
      </c>
      <c r="H93" s="46">
        <v>75009.66</v>
      </c>
      <c r="I93" s="46">
        <v>0</v>
      </c>
      <c r="J93" s="46">
        <v>0</v>
      </c>
      <c r="K93" s="46">
        <v>0</v>
      </c>
      <c r="L93" s="46">
        <v>75009.66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75009.66</v>
      </c>
    </row>
    <row r="94" spans="1:20" ht="21.75">
      <c r="A94" s="45" t="s">
        <v>517</v>
      </c>
      <c r="B94" s="45" t="s">
        <v>518</v>
      </c>
      <c r="C94" s="46">
        <v>0</v>
      </c>
      <c r="D94" s="46">
        <v>6589.32</v>
      </c>
      <c r="E94" s="46">
        <v>2677.81</v>
      </c>
      <c r="F94" s="46">
        <v>0</v>
      </c>
      <c r="G94" s="46">
        <v>0</v>
      </c>
      <c r="H94" s="46">
        <v>3911.51</v>
      </c>
      <c r="I94" s="46">
        <v>0</v>
      </c>
      <c r="J94" s="46">
        <v>0</v>
      </c>
      <c r="K94" s="46">
        <v>0</v>
      </c>
      <c r="L94" s="46">
        <v>3911.51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3911.51</v>
      </c>
    </row>
    <row r="95" spans="1:20" ht="21.75">
      <c r="A95" s="45" t="s">
        <v>519</v>
      </c>
      <c r="B95" s="45" t="s">
        <v>786</v>
      </c>
      <c r="C95" s="46">
        <v>0</v>
      </c>
      <c r="D95" s="46">
        <v>0</v>
      </c>
      <c r="E95" s="46">
        <v>2150.94</v>
      </c>
      <c r="F95" s="46">
        <v>4410.68</v>
      </c>
      <c r="G95" s="46">
        <v>0</v>
      </c>
      <c r="H95" s="46">
        <v>2259.74</v>
      </c>
      <c r="I95" s="46">
        <v>0</v>
      </c>
      <c r="J95" s="46">
        <v>50564.59</v>
      </c>
      <c r="K95" s="46">
        <v>0</v>
      </c>
      <c r="L95" s="46">
        <v>52824.33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52824.33</v>
      </c>
    </row>
    <row r="96" spans="1:20" ht="21.75">
      <c r="A96" s="45" t="s">
        <v>520</v>
      </c>
      <c r="B96" s="45" t="s">
        <v>787</v>
      </c>
      <c r="C96" s="46">
        <v>0</v>
      </c>
      <c r="D96" s="46">
        <v>480.3</v>
      </c>
      <c r="E96" s="46">
        <v>639.81</v>
      </c>
      <c r="F96" s="46">
        <v>159.51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</row>
    <row r="97" spans="1:20" ht="21.75">
      <c r="A97" s="45" t="s">
        <v>521</v>
      </c>
      <c r="B97" s="45" t="s">
        <v>257</v>
      </c>
      <c r="C97" s="46">
        <v>0</v>
      </c>
      <c r="D97" s="46">
        <v>0</v>
      </c>
      <c r="E97" s="46">
        <v>277433.87</v>
      </c>
      <c r="F97" s="46">
        <v>277433.87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</row>
    <row r="98" spans="1:20" ht="21.75">
      <c r="A98" s="45" t="s">
        <v>788</v>
      </c>
      <c r="B98" s="45" t="s">
        <v>789</v>
      </c>
      <c r="C98" s="46">
        <v>0</v>
      </c>
      <c r="D98" s="46">
        <v>0</v>
      </c>
      <c r="E98" s="46">
        <v>9630</v>
      </c>
      <c r="F98" s="46">
        <v>10243.5</v>
      </c>
      <c r="G98" s="46">
        <v>0</v>
      </c>
      <c r="H98" s="46">
        <v>613.5</v>
      </c>
      <c r="I98" s="46">
        <v>0</v>
      </c>
      <c r="J98" s="46">
        <v>0</v>
      </c>
      <c r="K98" s="46">
        <v>0</v>
      </c>
      <c r="L98" s="46">
        <v>613.5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613.5</v>
      </c>
    </row>
    <row r="99" spans="1:20" ht="21.75">
      <c r="A99" s="45" t="s">
        <v>790</v>
      </c>
      <c r="B99" s="45" t="s">
        <v>791</v>
      </c>
      <c r="C99" s="46">
        <v>0</v>
      </c>
      <c r="D99" s="46">
        <v>0</v>
      </c>
      <c r="E99" s="46">
        <v>524565</v>
      </c>
      <c r="F99" s="46">
        <v>524565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</row>
    <row r="100" spans="1:20" ht="21.75">
      <c r="A100" s="45" t="s">
        <v>258</v>
      </c>
      <c r="B100" s="45" t="s">
        <v>259</v>
      </c>
      <c r="C100" s="46">
        <v>0</v>
      </c>
      <c r="D100" s="46">
        <v>0</v>
      </c>
      <c r="E100" s="46">
        <v>1233607.48</v>
      </c>
      <c r="F100" s="46">
        <v>1233607.48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</row>
    <row r="101" spans="1:20" ht="21.75">
      <c r="A101" s="45" t="s">
        <v>260</v>
      </c>
      <c r="B101" s="45" t="s">
        <v>261</v>
      </c>
      <c r="C101" s="46">
        <v>0</v>
      </c>
      <c r="D101" s="46">
        <v>0</v>
      </c>
      <c r="E101" s="46">
        <v>19855.3</v>
      </c>
      <c r="F101" s="46">
        <v>19855.3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</row>
    <row r="102" spans="1:20" ht="21.75">
      <c r="A102" s="45" t="s">
        <v>522</v>
      </c>
      <c r="B102" s="45" t="s">
        <v>523</v>
      </c>
      <c r="C102" s="46">
        <v>0</v>
      </c>
      <c r="D102" s="46">
        <v>0</v>
      </c>
      <c r="E102" s="46">
        <v>7888600.87</v>
      </c>
      <c r="F102" s="46">
        <v>7888600.87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</row>
    <row r="103" spans="1:20" ht="21.75">
      <c r="A103" s="45" t="s">
        <v>524</v>
      </c>
      <c r="B103" s="45" t="s">
        <v>350</v>
      </c>
      <c r="C103" s="46">
        <v>0</v>
      </c>
      <c r="D103" s="46">
        <v>0</v>
      </c>
      <c r="E103" s="46">
        <v>28154.45</v>
      </c>
      <c r="F103" s="46">
        <v>28154.45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</row>
    <row r="104" spans="1:20" ht="21.75">
      <c r="A104" s="45" t="s">
        <v>525</v>
      </c>
      <c r="B104" s="45" t="s">
        <v>396</v>
      </c>
      <c r="C104" s="46">
        <v>0</v>
      </c>
      <c r="D104" s="46">
        <v>0</v>
      </c>
      <c r="E104" s="46">
        <v>1014.01</v>
      </c>
      <c r="F104" s="46">
        <v>1014.01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</row>
    <row r="105" spans="1:20" ht="21.75">
      <c r="A105" s="45" t="s">
        <v>526</v>
      </c>
      <c r="B105" s="45" t="s">
        <v>397</v>
      </c>
      <c r="C105" s="46">
        <v>0</v>
      </c>
      <c r="D105" s="46">
        <v>0</v>
      </c>
      <c r="E105" s="46">
        <v>526.47</v>
      </c>
      <c r="F105" s="46">
        <v>526.47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</row>
    <row r="106" spans="1:20" ht="21.75">
      <c r="A106" s="45" t="s">
        <v>527</v>
      </c>
      <c r="B106" s="45" t="s">
        <v>528</v>
      </c>
      <c r="C106" s="46">
        <v>0</v>
      </c>
      <c r="D106" s="46">
        <v>0</v>
      </c>
      <c r="E106" s="46">
        <v>1109.92</v>
      </c>
      <c r="F106" s="46">
        <v>1109.92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</row>
    <row r="107" spans="1:20" ht="21.75">
      <c r="A107" s="45" t="s">
        <v>529</v>
      </c>
      <c r="B107" s="45" t="s">
        <v>530</v>
      </c>
      <c r="C107" s="46">
        <v>0</v>
      </c>
      <c r="D107" s="46">
        <v>0</v>
      </c>
      <c r="E107" s="46">
        <v>1819.44</v>
      </c>
      <c r="F107" s="46">
        <v>1819.44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</row>
    <row r="108" spans="1:20" ht="21.75">
      <c r="A108" s="45" t="s">
        <v>531</v>
      </c>
      <c r="B108" s="45" t="s">
        <v>411</v>
      </c>
      <c r="C108" s="46">
        <v>0</v>
      </c>
      <c r="D108" s="46">
        <v>150</v>
      </c>
      <c r="E108" s="46">
        <v>0</v>
      </c>
      <c r="F108" s="46">
        <v>0</v>
      </c>
      <c r="G108" s="46">
        <v>0</v>
      </c>
      <c r="H108" s="46">
        <v>150</v>
      </c>
      <c r="I108" s="46">
        <v>0</v>
      </c>
      <c r="J108" s="46">
        <v>0</v>
      </c>
      <c r="K108" s="46">
        <v>0</v>
      </c>
      <c r="L108" s="46">
        <v>150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150</v>
      </c>
    </row>
    <row r="109" spans="1:20" ht="21.75">
      <c r="A109" s="45" t="s">
        <v>262</v>
      </c>
      <c r="B109" s="45" t="s">
        <v>146</v>
      </c>
      <c r="C109" s="46">
        <v>0</v>
      </c>
      <c r="D109" s="46">
        <v>17308</v>
      </c>
      <c r="E109" s="46">
        <v>220056</v>
      </c>
      <c r="F109" s="46">
        <v>220860</v>
      </c>
      <c r="G109" s="46">
        <v>0</v>
      </c>
      <c r="H109" s="46">
        <v>18112</v>
      </c>
      <c r="I109" s="46">
        <v>0</v>
      </c>
      <c r="J109" s="46">
        <v>0</v>
      </c>
      <c r="K109" s="46">
        <v>0</v>
      </c>
      <c r="L109" s="46">
        <v>18112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18112</v>
      </c>
    </row>
    <row r="110" spans="1:20" ht="21.75">
      <c r="A110" s="45" t="s">
        <v>532</v>
      </c>
      <c r="B110" s="45" t="s">
        <v>412</v>
      </c>
      <c r="C110" s="46">
        <v>0</v>
      </c>
      <c r="D110" s="46">
        <v>0</v>
      </c>
      <c r="E110" s="46">
        <v>264.08</v>
      </c>
      <c r="F110" s="46">
        <v>264.08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</row>
    <row r="111" spans="1:20" ht="21.75">
      <c r="A111" s="45" t="s">
        <v>533</v>
      </c>
      <c r="B111" s="45" t="s">
        <v>428</v>
      </c>
      <c r="C111" s="46">
        <v>0</v>
      </c>
      <c r="D111" s="46">
        <v>0</v>
      </c>
      <c r="E111" s="46">
        <v>360.1</v>
      </c>
      <c r="F111" s="46">
        <v>360.1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</row>
    <row r="112" spans="1:20" ht="21.75">
      <c r="A112" s="45" t="s">
        <v>534</v>
      </c>
      <c r="B112" s="45" t="s">
        <v>535</v>
      </c>
      <c r="C112" s="46">
        <v>0</v>
      </c>
      <c r="D112" s="46">
        <v>0</v>
      </c>
      <c r="E112" s="46">
        <v>178.57</v>
      </c>
      <c r="F112" s="46">
        <v>178.57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</row>
    <row r="113" spans="1:20" ht="21.75">
      <c r="A113" s="45" t="s">
        <v>263</v>
      </c>
      <c r="B113" s="45" t="s">
        <v>536</v>
      </c>
      <c r="C113" s="46">
        <v>0</v>
      </c>
      <c r="D113" s="46">
        <v>988181.79</v>
      </c>
      <c r="E113" s="46">
        <v>3183865.53</v>
      </c>
      <c r="F113" s="46">
        <v>3266343.5</v>
      </c>
      <c r="G113" s="46">
        <v>0</v>
      </c>
      <c r="H113" s="46">
        <v>1070659.76</v>
      </c>
      <c r="I113" s="46">
        <v>0</v>
      </c>
      <c r="J113" s="46">
        <v>0</v>
      </c>
      <c r="K113" s="46">
        <v>0</v>
      </c>
      <c r="L113" s="46">
        <v>1070659.76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1070659.76</v>
      </c>
    </row>
    <row r="114" spans="1:20" ht="21.75">
      <c r="A114" s="45" t="s">
        <v>792</v>
      </c>
      <c r="B114" s="45" t="s">
        <v>793</v>
      </c>
      <c r="C114" s="46">
        <v>0</v>
      </c>
      <c r="D114" s="46">
        <v>0</v>
      </c>
      <c r="E114" s="46">
        <v>400000</v>
      </c>
      <c r="F114" s="46">
        <v>400000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</row>
    <row r="115" spans="1:20" ht="21.75">
      <c r="A115" s="45" t="s">
        <v>537</v>
      </c>
      <c r="B115" s="45" t="s">
        <v>538</v>
      </c>
      <c r="C115" s="46">
        <v>0</v>
      </c>
      <c r="D115" s="46">
        <v>683.6</v>
      </c>
      <c r="E115" s="46">
        <v>683.6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</row>
    <row r="116" spans="1:20" ht="21.75">
      <c r="A116" s="45" t="s">
        <v>539</v>
      </c>
      <c r="B116" s="45" t="s">
        <v>342</v>
      </c>
      <c r="C116" s="46">
        <v>0</v>
      </c>
      <c r="D116" s="46">
        <v>36547.66</v>
      </c>
      <c r="E116" s="46">
        <v>230719.66</v>
      </c>
      <c r="F116" s="46">
        <v>229628</v>
      </c>
      <c r="G116" s="46">
        <v>0</v>
      </c>
      <c r="H116" s="46">
        <v>35456</v>
      </c>
      <c r="I116" s="46">
        <v>0</v>
      </c>
      <c r="J116" s="46">
        <v>0</v>
      </c>
      <c r="K116" s="46">
        <v>0</v>
      </c>
      <c r="L116" s="46">
        <v>35456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35456</v>
      </c>
    </row>
    <row r="117" spans="1:20" ht="21.75">
      <c r="A117" s="45" t="s">
        <v>540</v>
      </c>
      <c r="B117" s="45" t="s">
        <v>398</v>
      </c>
      <c r="C117" s="46">
        <v>0</v>
      </c>
      <c r="D117" s="46">
        <v>6080.19</v>
      </c>
      <c r="E117" s="46">
        <v>18553.95</v>
      </c>
      <c r="F117" s="46">
        <v>19526.35</v>
      </c>
      <c r="G117" s="46">
        <v>0</v>
      </c>
      <c r="H117" s="46">
        <v>7052.59</v>
      </c>
      <c r="I117" s="46">
        <v>0</v>
      </c>
      <c r="J117" s="46">
        <v>0</v>
      </c>
      <c r="K117" s="46">
        <v>0</v>
      </c>
      <c r="L117" s="46">
        <v>7052.59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7052.59</v>
      </c>
    </row>
    <row r="118" spans="1:20" ht="21.75">
      <c r="A118" s="45" t="s">
        <v>541</v>
      </c>
      <c r="B118" s="45" t="s">
        <v>427</v>
      </c>
      <c r="C118" s="46">
        <v>0</v>
      </c>
      <c r="D118" s="46">
        <v>44236.95</v>
      </c>
      <c r="E118" s="46">
        <v>483895.1</v>
      </c>
      <c r="F118" s="46">
        <v>502401.69</v>
      </c>
      <c r="G118" s="46">
        <v>0</v>
      </c>
      <c r="H118" s="46">
        <v>62743.54</v>
      </c>
      <c r="I118" s="46">
        <v>0</v>
      </c>
      <c r="J118" s="46">
        <v>0</v>
      </c>
      <c r="K118" s="46">
        <v>0</v>
      </c>
      <c r="L118" s="46">
        <v>62743.54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62743.54</v>
      </c>
    </row>
    <row r="119" spans="1:20" ht="21.75">
      <c r="A119" s="45" t="s">
        <v>264</v>
      </c>
      <c r="B119" s="45" t="s">
        <v>542</v>
      </c>
      <c r="C119" s="46">
        <v>0</v>
      </c>
      <c r="D119" s="46">
        <v>1853127.92</v>
      </c>
      <c r="E119" s="46">
        <v>60202.3</v>
      </c>
      <c r="F119" s="46">
        <v>268553</v>
      </c>
      <c r="G119" s="46">
        <v>0</v>
      </c>
      <c r="H119" s="46">
        <v>2061478.62</v>
      </c>
      <c r="I119" s="46">
        <v>0</v>
      </c>
      <c r="J119" s="46">
        <v>78129.05</v>
      </c>
      <c r="K119" s="46">
        <v>0</v>
      </c>
      <c r="L119" s="46">
        <v>2139607.67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2139607.67</v>
      </c>
    </row>
    <row r="120" spans="1:20" ht="21.75">
      <c r="A120" s="45" t="s">
        <v>543</v>
      </c>
      <c r="B120" s="45" t="s">
        <v>343</v>
      </c>
      <c r="C120" s="46">
        <v>0</v>
      </c>
      <c r="D120" s="46">
        <v>669680</v>
      </c>
      <c r="E120" s="46">
        <v>562590</v>
      </c>
      <c r="F120" s="46">
        <v>252130</v>
      </c>
      <c r="G120" s="46">
        <v>0</v>
      </c>
      <c r="H120" s="46">
        <v>359220</v>
      </c>
      <c r="I120" s="46">
        <v>0</v>
      </c>
      <c r="J120" s="46">
        <v>0</v>
      </c>
      <c r="K120" s="46">
        <v>0</v>
      </c>
      <c r="L120" s="46">
        <v>359220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359220</v>
      </c>
    </row>
    <row r="121" spans="1:20" ht="21.75">
      <c r="A121" s="45" t="s">
        <v>265</v>
      </c>
      <c r="B121" s="45" t="s">
        <v>544</v>
      </c>
      <c r="C121" s="46">
        <v>0</v>
      </c>
      <c r="D121" s="46">
        <v>4435770</v>
      </c>
      <c r="E121" s="46">
        <v>0</v>
      </c>
      <c r="F121" s="46">
        <v>0</v>
      </c>
      <c r="G121" s="46">
        <v>0</v>
      </c>
      <c r="H121" s="46">
        <v>4435770</v>
      </c>
      <c r="I121" s="46">
        <v>0</v>
      </c>
      <c r="J121" s="46">
        <v>533630</v>
      </c>
      <c r="K121" s="46">
        <v>0</v>
      </c>
      <c r="L121" s="46">
        <v>4969400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4969400</v>
      </c>
    </row>
    <row r="122" spans="1:20" ht="21.75">
      <c r="A122" s="45" t="s">
        <v>545</v>
      </c>
      <c r="B122" s="45" t="s">
        <v>546</v>
      </c>
      <c r="C122" s="46">
        <v>0</v>
      </c>
      <c r="D122" s="46">
        <v>0</v>
      </c>
      <c r="E122" s="46">
        <v>72735</v>
      </c>
      <c r="F122" s="46">
        <v>72735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</row>
    <row r="123" spans="1:20" ht="21.75">
      <c r="A123" s="45" t="s">
        <v>266</v>
      </c>
      <c r="B123" s="45" t="s">
        <v>547</v>
      </c>
      <c r="C123" s="46">
        <v>0</v>
      </c>
      <c r="D123" s="46">
        <v>472831.27</v>
      </c>
      <c r="E123" s="46">
        <v>0</v>
      </c>
      <c r="F123" s="46">
        <v>6021</v>
      </c>
      <c r="G123" s="46">
        <v>0</v>
      </c>
      <c r="H123" s="46">
        <v>478852.27</v>
      </c>
      <c r="I123" s="46">
        <v>0</v>
      </c>
      <c r="J123" s="46">
        <v>2.15</v>
      </c>
      <c r="K123" s="46">
        <v>0</v>
      </c>
      <c r="L123" s="46">
        <v>478854.42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478854.42</v>
      </c>
    </row>
    <row r="124" spans="1:20" ht="21.75">
      <c r="A124" s="45" t="s">
        <v>548</v>
      </c>
      <c r="B124" s="45" t="s">
        <v>549</v>
      </c>
      <c r="C124" s="46">
        <v>0</v>
      </c>
      <c r="D124" s="46">
        <v>1048500</v>
      </c>
      <c r="E124" s="46">
        <v>0</v>
      </c>
      <c r="F124" s="46">
        <v>0</v>
      </c>
      <c r="G124" s="46">
        <v>0</v>
      </c>
      <c r="H124" s="46">
        <v>1048500</v>
      </c>
      <c r="I124" s="46">
        <v>0</v>
      </c>
      <c r="J124" s="46">
        <v>0</v>
      </c>
      <c r="K124" s="46">
        <v>0</v>
      </c>
      <c r="L124" s="46">
        <v>1048500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1048500</v>
      </c>
    </row>
    <row r="125" spans="1:20" ht="21.75">
      <c r="A125" s="45" t="s">
        <v>550</v>
      </c>
      <c r="B125" s="45" t="s">
        <v>551</v>
      </c>
      <c r="C125" s="46">
        <v>0</v>
      </c>
      <c r="D125" s="46">
        <v>845000</v>
      </c>
      <c r="E125" s="46">
        <v>0</v>
      </c>
      <c r="F125" s="46">
        <v>0</v>
      </c>
      <c r="G125" s="46">
        <v>0</v>
      </c>
      <c r="H125" s="46">
        <v>845000</v>
      </c>
      <c r="I125" s="46">
        <v>65000</v>
      </c>
      <c r="J125" s="46">
        <v>0</v>
      </c>
      <c r="K125" s="46">
        <v>0</v>
      </c>
      <c r="L125" s="46">
        <v>780000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780000</v>
      </c>
    </row>
    <row r="126" spans="1:20" ht="21.75">
      <c r="A126" s="45" t="s">
        <v>552</v>
      </c>
      <c r="B126" s="45" t="s">
        <v>553</v>
      </c>
      <c r="C126" s="46">
        <v>0</v>
      </c>
      <c r="D126" s="46">
        <v>761643.84</v>
      </c>
      <c r="E126" s="46">
        <v>0</v>
      </c>
      <c r="F126" s="46">
        <v>0</v>
      </c>
      <c r="G126" s="46">
        <v>0</v>
      </c>
      <c r="H126" s="46">
        <v>761643.84</v>
      </c>
      <c r="I126" s="46">
        <v>50000</v>
      </c>
      <c r="J126" s="46">
        <v>0</v>
      </c>
      <c r="K126" s="46">
        <v>0</v>
      </c>
      <c r="L126" s="46">
        <v>711643.84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711643.84</v>
      </c>
    </row>
    <row r="127" spans="1:20" ht="21.75">
      <c r="A127" s="45" t="s">
        <v>554</v>
      </c>
      <c r="B127" s="45" t="s">
        <v>399</v>
      </c>
      <c r="C127" s="46">
        <v>0</v>
      </c>
      <c r="D127" s="46">
        <v>420068.49</v>
      </c>
      <c r="E127" s="46">
        <v>0</v>
      </c>
      <c r="F127" s="46">
        <v>0</v>
      </c>
      <c r="G127" s="46">
        <v>0</v>
      </c>
      <c r="H127" s="46">
        <v>420068.49</v>
      </c>
      <c r="I127" s="46">
        <v>25000</v>
      </c>
      <c r="J127" s="46">
        <v>0</v>
      </c>
      <c r="K127" s="46">
        <v>0</v>
      </c>
      <c r="L127" s="46">
        <v>395068.49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395068.49</v>
      </c>
    </row>
    <row r="128" spans="1:20" ht="21.75">
      <c r="A128" s="45" t="s">
        <v>555</v>
      </c>
      <c r="B128" s="45" t="s">
        <v>413</v>
      </c>
      <c r="C128" s="46">
        <v>0</v>
      </c>
      <c r="D128" s="46">
        <v>1939200</v>
      </c>
      <c r="E128" s="46">
        <v>0</v>
      </c>
      <c r="F128" s="46">
        <v>0</v>
      </c>
      <c r="G128" s="46">
        <v>0</v>
      </c>
      <c r="H128" s="46">
        <v>1939200</v>
      </c>
      <c r="I128" s="46">
        <v>109500</v>
      </c>
      <c r="J128" s="46">
        <v>0</v>
      </c>
      <c r="K128" s="46">
        <v>0</v>
      </c>
      <c r="L128" s="46">
        <v>1829700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1829700</v>
      </c>
    </row>
    <row r="129" spans="1:20" ht="21.75">
      <c r="A129" s="45" t="s">
        <v>556</v>
      </c>
      <c r="B129" s="45" t="s">
        <v>794</v>
      </c>
      <c r="C129" s="46">
        <v>0</v>
      </c>
      <c r="D129" s="46">
        <v>0</v>
      </c>
      <c r="E129" s="46">
        <v>60000</v>
      </c>
      <c r="F129" s="46">
        <v>60000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</row>
    <row r="130" spans="1:20" ht="21.75">
      <c r="A130" s="45" t="s">
        <v>795</v>
      </c>
      <c r="B130" s="45" t="s">
        <v>796</v>
      </c>
      <c r="C130" s="46">
        <v>0</v>
      </c>
      <c r="D130" s="46">
        <v>0</v>
      </c>
      <c r="E130" s="46">
        <v>70000</v>
      </c>
      <c r="F130" s="46">
        <v>70000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</row>
    <row r="131" spans="1:20" ht="21.75">
      <c r="A131" s="45" t="s">
        <v>267</v>
      </c>
      <c r="B131" s="45" t="s">
        <v>268</v>
      </c>
      <c r="C131" s="46">
        <v>0</v>
      </c>
      <c r="D131" s="46">
        <v>60016250</v>
      </c>
      <c r="E131" s="46">
        <v>4142300</v>
      </c>
      <c r="F131" s="46">
        <v>9288250</v>
      </c>
      <c r="G131" s="46">
        <v>0</v>
      </c>
      <c r="H131" s="46">
        <v>65162200</v>
      </c>
      <c r="I131" s="46">
        <v>0</v>
      </c>
      <c r="J131" s="46">
        <v>0</v>
      </c>
      <c r="K131" s="46">
        <v>0</v>
      </c>
      <c r="L131" s="46">
        <v>65162200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65162200</v>
      </c>
    </row>
    <row r="132" spans="1:20" ht="21.75">
      <c r="A132" s="45" t="s">
        <v>269</v>
      </c>
      <c r="B132" s="45" t="s">
        <v>26</v>
      </c>
      <c r="C132" s="46">
        <v>0</v>
      </c>
      <c r="D132" s="46">
        <v>10013178.47</v>
      </c>
      <c r="E132" s="46">
        <v>0</v>
      </c>
      <c r="F132" s="46">
        <v>2488933</v>
      </c>
      <c r="G132" s="46">
        <v>0</v>
      </c>
      <c r="H132" s="46">
        <v>12502111.47</v>
      </c>
      <c r="I132" s="46">
        <v>0</v>
      </c>
      <c r="J132" s="46">
        <v>0</v>
      </c>
      <c r="K132" s="46">
        <v>0</v>
      </c>
      <c r="L132" s="46">
        <v>12502111.47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12502111.47</v>
      </c>
    </row>
    <row r="133" spans="1:20" ht="21.75">
      <c r="A133" s="45" t="s">
        <v>270</v>
      </c>
      <c r="B133" s="45" t="s">
        <v>116</v>
      </c>
      <c r="C133" s="46">
        <v>0</v>
      </c>
      <c r="D133" s="46">
        <v>195540</v>
      </c>
      <c r="E133" s="46">
        <v>53219</v>
      </c>
      <c r="F133" s="46">
        <v>54000</v>
      </c>
      <c r="G133" s="46">
        <v>0</v>
      </c>
      <c r="H133" s="46">
        <v>196321</v>
      </c>
      <c r="I133" s="46">
        <v>0</v>
      </c>
      <c r="J133" s="46">
        <v>0</v>
      </c>
      <c r="K133" s="46">
        <v>0</v>
      </c>
      <c r="L133" s="46">
        <v>196321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196321</v>
      </c>
    </row>
    <row r="134" spans="1:20" ht="21.75">
      <c r="A134" s="45" t="s">
        <v>271</v>
      </c>
      <c r="B134" s="45" t="s">
        <v>152</v>
      </c>
      <c r="C134" s="46">
        <v>0</v>
      </c>
      <c r="D134" s="46">
        <v>912885.93</v>
      </c>
      <c r="E134" s="46">
        <v>0</v>
      </c>
      <c r="F134" s="46">
        <v>100000</v>
      </c>
      <c r="G134" s="46">
        <v>0</v>
      </c>
      <c r="H134" s="46">
        <v>1012885.93</v>
      </c>
      <c r="I134" s="46">
        <v>0</v>
      </c>
      <c r="J134" s="46">
        <v>0</v>
      </c>
      <c r="K134" s="46">
        <v>0</v>
      </c>
      <c r="L134" s="46">
        <v>1012885.93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1012885.93</v>
      </c>
    </row>
    <row r="135" spans="1:20" ht="21.75">
      <c r="A135" s="45" t="s">
        <v>272</v>
      </c>
      <c r="B135" s="45" t="s">
        <v>153</v>
      </c>
      <c r="C135" s="46">
        <v>0</v>
      </c>
      <c r="D135" s="46">
        <v>1147244</v>
      </c>
      <c r="E135" s="46">
        <v>111553</v>
      </c>
      <c r="F135" s="46">
        <v>327811.5</v>
      </c>
      <c r="G135" s="46">
        <v>0</v>
      </c>
      <c r="H135" s="46">
        <v>1363502.5</v>
      </c>
      <c r="I135" s="46">
        <v>0</v>
      </c>
      <c r="J135" s="46">
        <v>0</v>
      </c>
      <c r="K135" s="46">
        <v>0</v>
      </c>
      <c r="L135" s="46">
        <v>1363502.5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1363502.5</v>
      </c>
    </row>
    <row r="136" spans="1:20" ht="21.75">
      <c r="A136" s="45" t="s">
        <v>273</v>
      </c>
      <c r="B136" s="45" t="s">
        <v>154</v>
      </c>
      <c r="C136" s="46">
        <v>0</v>
      </c>
      <c r="D136" s="46">
        <v>2080000</v>
      </c>
      <c r="E136" s="46">
        <v>0</v>
      </c>
      <c r="F136" s="46">
        <v>300000</v>
      </c>
      <c r="G136" s="46">
        <v>0</v>
      </c>
      <c r="H136" s="46">
        <v>2380000</v>
      </c>
      <c r="I136" s="46">
        <v>0</v>
      </c>
      <c r="J136" s="46">
        <v>0</v>
      </c>
      <c r="K136" s="46">
        <v>0</v>
      </c>
      <c r="L136" s="46">
        <v>2380000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2380000</v>
      </c>
    </row>
    <row r="137" spans="1:20" ht="21.75">
      <c r="A137" s="45" t="s">
        <v>274</v>
      </c>
      <c r="B137" s="45" t="s">
        <v>275</v>
      </c>
      <c r="C137" s="46">
        <v>0</v>
      </c>
      <c r="D137" s="46">
        <v>857654</v>
      </c>
      <c r="E137" s="46">
        <v>308657.5</v>
      </c>
      <c r="F137" s="46">
        <v>500000</v>
      </c>
      <c r="G137" s="46">
        <v>0</v>
      </c>
      <c r="H137" s="46">
        <v>1048996.5</v>
      </c>
      <c r="I137" s="46">
        <v>0</v>
      </c>
      <c r="J137" s="46">
        <v>0</v>
      </c>
      <c r="K137" s="46">
        <v>0</v>
      </c>
      <c r="L137" s="46">
        <v>1048996.5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1048996.5</v>
      </c>
    </row>
    <row r="138" spans="1:20" ht="21.75">
      <c r="A138" s="45" t="s">
        <v>797</v>
      </c>
      <c r="B138" s="45" t="s">
        <v>686</v>
      </c>
      <c r="C138" s="46">
        <v>0</v>
      </c>
      <c r="D138" s="46">
        <v>100000</v>
      </c>
      <c r="E138" s="46">
        <v>0</v>
      </c>
      <c r="F138" s="46">
        <v>100000</v>
      </c>
      <c r="G138" s="46">
        <v>0</v>
      </c>
      <c r="H138" s="46">
        <v>200000</v>
      </c>
      <c r="I138" s="46">
        <v>0</v>
      </c>
      <c r="J138" s="46">
        <v>0</v>
      </c>
      <c r="K138" s="46">
        <v>0</v>
      </c>
      <c r="L138" s="46">
        <v>200000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200000</v>
      </c>
    </row>
    <row r="139" spans="1:20" ht="21.75">
      <c r="A139" s="45" t="s">
        <v>276</v>
      </c>
      <c r="B139" s="45" t="s">
        <v>151</v>
      </c>
      <c r="C139" s="46">
        <v>0</v>
      </c>
      <c r="D139" s="46">
        <v>67427.17</v>
      </c>
      <c r="E139" s="46">
        <v>0</v>
      </c>
      <c r="F139" s="46">
        <v>6026</v>
      </c>
      <c r="G139" s="46">
        <v>0</v>
      </c>
      <c r="H139" s="46">
        <v>73453.17</v>
      </c>
      <c r="I139" s="46">
        <v>0</v>
      </c>
      <c r="J139" s="46">
        <v>0</v>
      </c>
      <c r="K139" s="46">
        <v>0</v>
      </c>
      <c r="L139" s="46">
        <v>73453.17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73453.17</v>
      </c>
    </row>
    <row r="140" spans="1:20" ht="21.75">
      <c r="A140" s="45" t="s">
        <v>277</v>
      </c>
      <c r="B140" s="45" t="s">
        <v>190</v>
      </c>
      <c r="C140" s="46">
        <v>0</v>
      </c>
      <c r="D140" s="46">
        <v>8212046.5</v>
      </c>
      <c r="E140" s="46">
        <v>8212046.5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</row>
    <row r="141" spans="1:20" ht="21.75">
      <c r="A141" s="45" t="s">
        <v>278</v>
      </c>
      <c r="B141" s="45" t="s">
        <v>97</v>
      </c>
      <c r="C141" s="46">
        <v>0</v>
      </c>
      <c r="D141" s="46">
        <v>0</v>
      </c>
      <c r="E141" s="46">
        <v>9166106.66</v>
      </c>
      <c r="F141" s="46">
        <v>27588469.32</v>
      </c>
      <c r="G141" s="46">
        <v>0</v>
      </c>
      <c r="H141" s="46">
        <v>18422362.66</v>
      </c>
      <c r="I141" s="46">
        <v>36279.31</v>
      </c>
      <c r="J141" s="46">
        <v>3955246.05</v>
      </c>
      <c r="K141" s="46">
        <v>0</v>
      </c>
      <c r="L141" s="46">
        <v>22341329.4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22341329.4</v>
      </c>
      <c r="S141" s="46">
        <v>0</v>
      </c>
      <c r="T141" s="46">
        <v>0</v>
      </c>
    </row>
    <row r="142" spans="1:20" ht="21.75">
      <c r="A142" s="45" t="s">
        <v>557</v>
      </c>
      <c r="B142" s="45" t="s">
        <v>558</v>
      </c>
      <c r="C142" s="46">
        <v>0</v>
      </c>
      <c r="D142" s="46">
        <v>0</v>
      </c>
      <c r="E142" s="46">
        <v>5702.95</v>
      </c>
      <c r="F142" s="46">
        <v>263730.06</v>
      </c>
      <c r="G142" s="46">
        <v>0</v>
      </c>
      <c r="H142" s="46">
        <v>258027.11</v>
      </c>
      <c r="I142" s="46">
        <v>5702.95</v>
      </c>
      <c r="J142" s="46">
        <v>307886.18</v>
      </c>
      <c r="K142" s="46">
        <v>0</v>
      </c>
      <c r="L142" s="46">
        <v>560210.34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560210.34</v>
      </c>
      <c r="S142" s="46">
        <v>0</v>
      </c>
      <c r="T142" s="46">
        <v>0</v>
      </c>
    </row>
    <row r="143" spans="1:20" ht="21.75">
      <c r="A143" s="45" t="s">
        <v>798</v>
      </c>
      <c r="B143" s="45" t="s">
        <v>672</v>
      </c>
      <c r="C143" s="46">
        <v>0</v>
      </c>
      <c r="D143" s="46">
        <v>0</v>
      </c>
      <c r="E143" s="46">
        <v>0</v>
      </c>
      <c r="F143" s="46">
        <v>-5651581.7</v>
      </c>
      <c r="G143" s="46">
        <v>5651581.7</v>
      </c>
      <c r="H143" s="46">
        <v>0</v>
      </c>
      <c r="I143" s="46">
        <v>0</v>
      </c>
      <c r="J143" s="46">
        <v>5744655.55</v>
      </c>
      <c r="K143" s="46">
        <v>0</v>
      </c>
      <c r="L143" s="46">
        <v>93073.85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93073.85</v>
      </c>
      <c r="S143" s="46">
        <v>0</v>
      </c>
      <c r="T143" s="46">
        <v>0</v>
      </c>
    </row>
    <row r="144" spans="1:20" ht="21.75">
      <c r="A144" s="45" t="s">
        <v>799</v>
      </c>
      <c r="B144" s="45" t="s">
        <v>589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203841.09</v>
      </c>
      <c r="K144" s="46">
        <v>0</v>
      </c>
      <c r="L144" s="46">
        <v>203841.09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203841.09</v>
      </c>
      <c r="S144" s="46">
        <v>0</v>
      </c>
      <c r="T144" s="46">
        <v>0</v>
      </c>
    </row>
    <row r="145" spans="1:20" ht="21.75">
      <c r="A145" s="45" t="s">
        <v>559</v>
      </c>
      <c r="B145" s="45" t="s">
        <v>405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41982.26</v>
      </c>
      <c r="K145" s="46">
        <v>0</v>
      </c>
      <c r="L145" s="46">
        <v>41982.26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41982.26</v>
      </c>
      <c r="S145" s="46">
        <v>0</v>
      </c>
      <c r="T145" s="46">
        <v>0</v>
      </c>
    </row>
    <row r="146" spans="1:20" ht="21.75">
      <c r="A146" s="45" t="s">
        <v>280</v>
      </c>
      <c r="B146" s="45" t="s">
        <v>281</v>
      </c>
      <c r="C146" s="46">
        <v>0</v>
      </c>
      <c r="D146" s="46">
        <v>0</v>
      </c>
      <c r="E146" s="46">
        <v>0</v>
      </c>
      <c r="F146" s="46">
        <v>20925410.75</v>
      </c>
      <c r="G146" s="46">
        <v>0</v>
      </c>
      <c r="H146" s="46">
        <v>20925410.75</v>
      </c>
      <c r="I146" s="46">
        <v>0</v>
      </c>
      <c r="J146" s="46">
        <v>0</v>
      </c>
      <c r="K146" s="46">
        <v>0</v>
      </c>
      <c r="L146" s="46">
        <v>20925410.75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20925410.75</v>
      </c>
      <c r="S146" s="46">
        <v>0</v>
      </c>
      <c r="T146" s="46">
        <v>0</v>
      </c>
    </row>
    <row r="147" spans="1:20" ht="21.75">
      <c r="A147" s="45" t="s">
        <v>560</v>
      </c>
      <c r="B147" s="45" t="s">
        <v>561</v>
      </c>
      <c r="C147" s="46">
        <v>0</v>
      </c>
      <c r="D147" s="46">
        <v>0</v>
      </c>
      <c r="E147" s="46">
        <v>0</v>
      </c>
      <c r="F147" s="46">
        <v>112718339.1</v>
      </c>
      <c r="G147" s="46">
        <v>0</v>
      </c>
      <c r="H147" s="46">
        <v>112718339.1</v>
      </c>
      <c r="I147" s="46">
        <v>0</v>
      </c>
      <c r="J147" s="46">
        <v>0</v>
      </c>
      <c r="K147" s="46">
        <v>0</v>
      </c>
      <c r="L147" s="46">
        <v>112718339.1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112718339.1</v>
      </c>
      <c r="S147" s="46">
        <v>0</v>
      </c>
      <c r="T147" s="46">
        <v>0</v>
      </c>
    </row>
    <row r="148" spans="1:20" ht="21.75">
      <c r="A148" s="45" t="s">
        <v>562</v>
      </c>
      <c r="B148" s="45" t="s">
        <v>344</v>
      </c>
      <c r="C148" s="46">
        <v>0</v>
      </c>
      <c r="D148" s="46">
        <v>0</v>
      </c>
      <c r="E148" s="46">
        <v>0</v>
      </c>
      <c r="F148" s="46">
        <v>3770.92</v>
      </c>
      <c r="G148" s="46">
        <v>0</v>
      </c>
      <c r="H148" s="46">
        <v>3770.92</v>
      </c>
      <c r="I148" s="46">
        <v>0</v>
      </c>
      <c r="J148" s="46">
        <v>0</v>
      </c>
      <c r="K148" s="46">
        <v>0</v>
      </c>
      <c r="L148" s="46">
        <v>3770.92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3770.92</v>
      </c>
      <c r="S148" s="46">
        <v>0</v>
      </c>
      <c r="T148" s="46">
        <v>0</v>
      </c>
    </row>
    <row r="149" spans="1:20" ht="21.75">
      <c r="A149" s="45" t="s">
        <v>563</v>
      </c>
      <c r="B149" s="45" t="s">
        <v>414</v>
      </c>
      <c r="C149" s="46">
        <v>0</v>
      </c>
      <c r="D149" s="46">
        <v>0</v>
      </c>
      <c r="E149" s="46">
        <v>0</v>
      </c>
      <c r="F149" s="46">
        <v>173266.04</v>
      </c>
      <c r="G149" s="46">
        <v>0</v>
      </c>
      <c r="H149" s="46">
        <v>173266.04</v>
      </c>
      <c r="I149" s="46">
        <v>0</v>
      </c>
      <c r="J149" s="46">
        <v>0</v>
      </c>
      <c r="K149" s="46">
        <v>0</v>
      </c>
      <c r="L149" s="46">
        <v>173266.04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173266.04</v>
      </c>
      <c r="S149" s="46">
        <v>0</v>
      </c>
      <c r="T149" s="46">
        <v>0</v>
      </c>
    </row>
    <row r="150" spans="1:20" ht="21.75">
      <c r="A150" s="45" t="s">
        <v>564</v>
      </c>
      <c r="B150" s="45" t="s">
        <v>282</v>
      </c>
      <c r="C150" s="46">
        <v>0</v>
      </c>
      <c r="D150" s="46">
        <v>0</v>
      </c>
      <c r="E150" s="46">
        <v>1000</v>
      </c>
      <c r="F150" s="46">
        <v>88030</v>
      </c>
      <c r="G150" s="46">
        <v>0</v>
      </c>
      <c r="H150" s="46">
        <v>87030</v>
      </c>
      <c r="I150" s="46">
        <v>0</v>
      </c>
      <c r="J150" s="46">
        <v>0</v>
      </c>
      <c r="K150" s="46">
        <v>0</v>
      </c>
      <c r="L150" s="46">
        <v>87030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87030</v>
      </c>
      <c r="S150" s="46">
        <v>0</v>
      </c>
      <c r="T150" s="46">
        <v>0</v>
      </c>
    </row>
    <row r="151" spans="1:20" ht="21.75">
      <c r="A151" s="45" t="s">
        <v>565</v>
      </c>
      <c r="B151" s="45" t="s">
        <v>566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25000</v>
      </c>
      <c r="K151" s="46">
        <v>0</v>
      </c>
      <c r="L151" s="46">
        <v>25000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25000</v>
      </c>
      <c r="S151" s="46">
        <v>0</v>
      </c>
      <c r="T151" s="46">
        <v>0</v>
      </c>
    </row>
    <row r="152" spans="1:20" ht="21.75">
      <c r="A152" s="45" t="s">
        <v>567</v>
      </c>
      <c r="B152" s="45" t="s">
        <v>351</v>
      </c>
      <c r="C152" s="46">
        <v>0</v>
      </c>
      <c r="D152" s="46">
        <v>0</v>
      </c>
      <c r="E152" s="46">
        <v>0</v>
      </c>
      <c r="F152" s="46">
        <v>402205.55</v>
      </c>
      <c r="G152" s="46">
        <v>0</v>
      </c>
      <c r="H152" s="46">
        <v>402205.55</v>
      </c>
      <c r="I152" s="46">
        <v>13445</v>
      </c>
      <c r="J152" s="46">
        <v>0</v>
      </c>
      <c r="K152" s="46">
        <v>0</v>
      </c>
      <c r="L152" s="46">
        <v>388760.55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388760.55</v>
      </c>
      <c r="S152" s="46">
        <v>0</v>
      </c>
      <c r="T152" s="46">
        <v>0</v>
      </c>
    </row>
    <row r="153" spans="1:20" ht="21.75">
      <c r="A153" s="45" t="s">
        <v>568</v>
      </c>
      <c r="B153" s="45" t="s">
        <v>569</v>
      </c>
      <c r="C153" s="46">
        <v>0</v>
      </c>
      <c r="D153" s="46">
        <v>0</v>
      </c>
      <c r="E153" s="46">
        <v>0</v>
      </c>
      <c r="F153" s="46">
        <v>2551.43</v>
      </c>
      <c r="G153" s="46">
        <v>0</v>
      </c>
      <c r="H153" s="46">
        <v>2551.43</v>
      </c>
      <c r="I153" s="46">
        <v>0</v>
      </c>
      <c r="J153" s="46">
        <v>0</v>
      </c>
      <c r="K153" s="46">
        <v>0</v>
      </c>
      <c r="L153" s="46">
        <v>2551.43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2551.43</v>
      </c>
      <c r="S153" s="46">
        <v>0</v>
      </c>
      <c r="T153" s="46">
        <v>0</v>
      </c>
    </row>
    <row r="154" spans="1:20" ht="21.75">
      <c r="A154" s="45" t="s">
        <v>570</v>
      </c>
      <c r="B154" s="45" t="s">
        <v>352</v>
      </c>
      <c r="C154" s="46">
        <v>0</v>
      </c>
      <c r="D154" s="46">
        <v>0</v>
      </c>
      <c r="E154" s="46">
        <v>13567</v>
      </c>
      <c r="F154" s="46">
        <v>122</v>
      </c>
      <c r="G154" s="46">
        <v>13445</v>
      </c>
      <c r="H154" s="46">
        <v>0</v>
      </c>
      <c r="I154" s="46">
        <v>0</v>
      </c>
      <c r="J154" s="46">
        <v>13445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</row>
    <row r="155" spans="1:20" ht="21.75">
      <c r="A155" s="45" t="s">
        <v>571</v>
      </c>
      <c r="B155" s="45" t="s">
        <v>401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50000</v>
      </c>
      <c r="K155" s="46">
        <v>0</v>
      </c>
      <c r="L155" s="46">
        <v>50000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50000</v>
      </c>
      <c r="S155" s="46">
        <v>0</v>
      </c>
      <c r="T155" s="46">
        <v>0</v>
      </c>
    </row>
    <row r="156" spans="1:20" ht="21.75">
      <c r="A156" s="45" t="s">
        <v>677</v>
      </c>
      <c r="B156" s="45" t="s">
        <v>400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65000</v>
      </c>
      <c r="K156" s="46">
        <v>0</v>
      </c>
      <c r="L156" s="46">
        <v>65000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65000</v>
      </c>
      <c r="S156" s="46">
        <v>0</v>
      </c>
      <c r="T156" s="46">
        <v>0</v>
      </c>
    </row>
    <row r="157" spans="1:20" ht="21.75">
      <c r="A157" s="45" t="s">
        <v>572</v>
      </c>
      <c r="B157" s="45" t="s">
        <v>573</v>
      </c>
      <c r="C157" s="46">
        <v>0</v>
      </c>
      <c r="D157" s="46">
        <v>0</v>
      </c>
      <c r="E157" s="46">
        <v>0</v>
      </c>
      <c r="F157" s="46">
        <v>77390221</v>
      </c>
      <c r="G157" s="46">
        <v>0</v>
      </c>
      <c r="H157" s="46">
        <v>77390221</v>
      </c>
      <c r="I157" s="46">
        <v>0</v>
      </c>
      <c r="J157" s="46">
        <v>0</v>
      </c>
      <c r="K157" s="46">
        <v>0</v>
      </c>
      <c r="L157" s="46">
        <v>77390221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77390221</v>
      </c>
      <c r="S157" s="46">
        <v>0</v>
      </c>
      <c r="T157" s="46">
        <v>0</v>
      </c>
    </row>
    <row r="158" spans="1:20" ht="21.75">
      <c r="A158" s="45" t="s">
        <v>283</v>
      </c>
      <c r="B158" s="45" t="s">
        <v>284</v>
      </c>
      <c r="C158" s="46">
        <v>0</v>
      </c>
      <c r="D158" s="46">
        <v>0</v>
      </c>
      <c r="E158" s="46">
        <v>45021.51</v>
      </c>
      <c r="F158" s="46">
        <v>45021.51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</row>
    <row r="159" spans="1:20" ht="21.75">
      <c r="A159" s="45" t="s">
        <v>574</v>
      </c>
      <c r="B159" s="45" t="s">
        <v>415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109500</v>
      </c>
      <c r="K159" s="46">
        <v>0</v>
      </c>
      <c r="L159" s="46">
        <v>109500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109500</v>
      </c>
      <c r="S159" s="46">
        <v>0</v>
      </c>
      <c r="T159" s="46">
        <v>0</v>
      </c>
    </row>
    <row r="160" spans="1:20" ht="21.75">
      <c r="A160" s="45" t="s">
        <v>678</v>
      </c>
      <c r="B160" s="45" t="s">
        <v>284</v>
      </c>
      <c r="C160" s="46">
        <v>0</v>
      </c>
      <c r="D160" s="46">
        <v>0</v>
      </c>
      <c r="E160" s="46">
        <v>0</v>
      </c>
      <c r="F160" s="46">
        <v>283647.7</v>
      </c>
      <c r="G160" s="46">
        <v>0</v>
      </c>
      <c r="H160" s="46">
        <v>283647.7</v>
      </c>
      <c r="I160" s="46">
        <v>0</v>
      </c>
      <c r="J160" s="46">
        <v>0</v>
      </c>
      <c r="K160" s="46">
        <v>0</v>
      </c>
      <c r="L160" s="46">
        <v>283647.7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283647.7</v>
      </c>
      <c r="S160" s="46">
        <v>0</v>
      </c>
      <c r="T160" s="46">
        <v>0</v>
      </c>
    </row>
    <row r="161" spans="1:20" ht="21.75">
      <c r="A161" s="45" t="s">
        <v>679</v>
      </c>
      <c r="B161" s="45" t="s">
        <v>800</v>
      </c>
      <c r="C161" s="46">
        <v>0</v>
      </c>
      <c r="D161" s="46">
        <v>0</v>
      </c>
      <c r="E161" s="46">
        <v>0</v>
      </c>
      <c r="F161" s="46">
        <v>5143.9</v>
      </c>
      <c r="G161" s="46">
        <v>0</v>
      </c>
      <c r="H161" s="46">
        <v>5143.9</v>
      </c>
      <c r="I161" s="46">
        <v>0</v>
      </c>
      <c r="J161" s="46">
        <v>0</v>
      </c>
      <c r="K161" s="46">
        <v>0</v>
      </c>
      <c r="L161" s="46">
        <v>5143.9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5143.9</v>
      </c>
      <c r="S161" s="46">
        <v>0</v>
      </c>
      <c r="T161" s="46">
        <v>0</v>
      </c>
    </row>
    <row r="162" spans="1:20" ht="21.75">
      <c r="A162" s="45" t="s">
        <v>575</v>
      </c>
      <c r="B162" s="45" t="s">
        <v>576</v>
      </c>
      <c r="C162" s="46">
        <v>0</v>
      </c>
      <c r="D162" s="46">
        <v>0</v>
      </c>
      <c r="E162" s="46">
        <v>46.73</v>
      </c>
      <c r="F162" s="46">
        <v>46.73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</row>
    <row r="163" spans="1:20" ht="21.75">
      <c r="A163" s="45" t="s">
        <v>285</v>
      </c>
      <c r="B163" s="45" t="s">
        <v>577</v>
      </c>
      <c r="C163" s="46">
        <v>0</v>
      </c>
      <c r="D163" s="46">
        <v>0</v>
      </c>
      <c r="E163" s="46">
        <v>0</v>
      </c>
      <c r="F163" s="46">
        <v>44079.39</v>
      </c>
      <c r="G163" s="46">
        <v>0</v>
      </c>
      <c r="H163" s="46">
        <v>44079.39</v>
      </c>
      <c r="I163" s="46">
        <v>2.15</v>
      </c>
      <c r="J163" s="46">
        <v>724.28</v>
      </c>
      <c r="K163" s="46">
        <v>0</v>
      </c>
      <c r="L163" s="46">
        <v>44801.52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44801.52</v>
      </c>
      <c r="S163" s="46">
        <v>0</v>
      </c>
      <c r="T163" s="46">
        <v>0</v>
      </c>
    </row>
    <row r="164" spans="1:20" ht="21.75">
      <c r="A164" s="45" t="s">
        <v>286</v>
      </c>
      <c r="B164" s="45" t="s">
        <v>40</v>
      </c>
      <c r="C164" s="46">
        <v>0</v>
      </c>
      <c r="D164" s="46">
        <v>0</v>
      </c>
      <c r="E164" s="46">
        <v>0</v>
      </c>
      <c r="F164" s="46">
        <v>7523.53</v>
      </c>
      <c r="G164" s="46">
        <v>0</v>
      </c>
      <c r="H164" s="46">
        <v>7523.53</v>
      </c>
      <c r="I164" s="46">
        <v>0</v>
      </c>
      <c r="J164" s="46">
        <v>0</v>
      </c>
      <c r="K164" s="46">
        <v>0</v>
      </c>
      <c r="L164" s="46">
        <v>7523.53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7523.53</v>
      </c>
      <c r="S164" s="46">
        <v>0</v>
      </c>
      <c r="T164" s="46">
        <v>0</v>
      </c>
    </row>
    <row r="165" spans="1:20" ht="21.75">
      <c r="A165" s="45" t="s">
        <v>287</v>
      </c>
      <c r="B165" s="45" t="s">
        <v>578</v>
      </c>
      <c r="C165" s="46">
        <v>0</v>
      </c>
      <c r="D165" s="46">
        <v>0</v>
      </c>
      <c r="E165" s="46">
        <v>0</v>
      </c>
      <c r="F165" s="46">
        <v>15886.8</v>
      </c>
      <c r="G165" s="46">
        <v>0</v>
      </c>
      <c r="H165" s="46">
        <v>15886.8</v>
      </c>
      <c r="I165" s="46">
        <v>0</v>
      </c>
      <c r="J165" s="46">
        <v>0</v>
      </c>
      <c r="K165" s="46">
        <v>0</v>
      </c>
      <c r="L165" s="46">
        <v>15886.8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15886.8</v>
      </c>
      <c r="S165" s="46">
        <v>0</v>
      </c>
      <c r="T165" s="46">
        <v>0</v>
      </c>
    </row>
    <row r="166" spans="1:20" ht="21.75">
      <c r="A166" s="45" t="s">
        <v>288</v>
      </c>
      <c r="B166" s="45" t="s">
        <v>579</v>
      </c>
      <c r="C166" s="46">
        <v>0</v>
      </c>
      <c r="D166" s="46">
        <v>0</v>
      </c>
      <c r="E166" s="46">
        <v>0</v>
      </c>
      <c r="F166" s="46">
        <v>14485.99</v>
      </c>
      <c r="G166" s="46">
        <v>0</v>
      </c>
      <c r="H166" s="46">
        <v>14485.99</v>
      </c>
      <c r="I166" s="46">
        <v>0</v>
      </c>
      <c r="J166" s="46">
        <v>0</v>
      </c>
      <c r="K166" s="46">
        <v>0</v>
      </c>
      <c r="L166" s="46">
        <v>14485.99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14485.99</v>
      </c>
      <c r="S166" s="46">
        <v>0</v>
      </c>
      <c r="T166" s="46">
        <v>0</v>
      </c>
    </row>
    <row r="167" spans="1:20" ht="21.75">
      <c r="A167" s="45" t="s">
        <v>289</v>
      </c>
      <c r="B167" s="45" t="s">
        <v>170</v>
      </c>
      <c r="C167" s="46">
        <v>0</v>
      </c>
      <c r="D167" s="46">
        <v>0</v>
      </c>
      <c r="E167" s="46">
        <v>0</v>
      </c>
      <c r="F167" s="46">
        <v>12000</v>
      </c>
      <c r="G167" s="46">
        <v>0</v>
      </c>
      <c r="H167" s="46">
        <v>12000</v>
      </c>
      <c r="I167" s="46">
        <v>0</v>
      </c>
      <c r="J167" s="46">
        <v>0</v>
      </c>
      <c r="K167" s="46">
        <v>0</v>
      </c>
      <c r="L167" s="46">
        <v>12000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12000</v>
      </c>
      <c r="S167" s="46">
        <v>0</v>
      </c>
      <c r="T167" s="46">
        <v>0</v>
      </c>
    </row>
    <row r="168" spans="1:20" ht="21.75">
      <c r="A168" s="45" t="s">
        <v>290</v>
      </c>
      <c r="B168" s="45" t="s">
        <v>169</v>
      </c>
      <c r="C168" s="46">
        <v>0</v>
      </c>
      <c r="D168" s="46">
        <v>0</v>
      </c>
      <c r="E168" s="46">
        <v>0</v>
      </c>
      <c r="F168" s="46">
        <v>1204.87</v>
      </c>
      <c r="G168" s="46">
        <v>0</v>
      </c>
      <c r="H168" s="46">
        <v>1204.87</v>
      </c>
      <c r="I168" s="46">
        <v>0</v>
      </c>
      <c r="J168" s="46">
        <v>1388993.27</v>
      </c>
      <c r="K168" s="46">
        <v>0</v>
      </c>
      <c r="L168" s="46">
        <v>1390198.14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1390198.14</v>
      </c>
      <c r="S168" s="46">
        <v>0</v>
      </c>
      <c r="T168" s="46">
        <v>0</v>
      </c>
    </row>
    <row r="169" spans="1:20" ht="21.75">
      <c r="A169" s="45" t="s">
        <v>580</v>
      </c>
      <c r="B169" s="45" t="s">
        <v>581</v>
      </c>
      <c r="C169" s="46">
        <v>0</v>
      </c>
      <c r="D169" s="46">
        <v>0</v>
      </c>
      <c r="E169" s="46">
        <v>0</v>
      </c>
      <c r="F169" s="46">
        <v>25992.06</v>
      </c>
      <c r="G169" s="46">
        <v>0</v>
      </c>
      <c r="H169" s="46">
        <v>25992.06</v>
      </c>
      <c r="I169" s="46">
        <v>0</v>
      </c>
      <c r="J169" s="46">
        <v>0</v>
      </c>
      <c r="K169" s="46">
        <v>0</v>
      </c>
      <c r="L169" s="46">
        <v>25992.06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25992.06</v>
      </c>
      <c r="S169" s="46">
        <v>0</v>
      </c>
      <c r="T169" s="46">
        <v>0</v>
      </c>
    </row>
    <row r="170" spans="1:20" ht="21.75">
      <c r="A170" s="45" t="s">
        <v>582</v>
      </c>
      <c r="B170" s="45" t="s">
        <v>354</v>
      </c>
      <c r="C170" s="46">
        <v>0</v>
      </c>
      <c r="D170" s="46">
        <v>0</v>
      </c>
      <c r="E170" s="46">
        <v>0</v>
      </c>
      <c r="F170" s="46">
        <v>57100</v>
      </c>
      <c r="G170" s="46">
        <v>0</v>
      </c>
      <c r="H170" s="46">
        <v>57100</v>
      </c>
      <c r="I170" s="46">
        <v>0</v>
      </c>
      <c r="J170" s="46">
        <v>0</v>
      </c>
      <c r="K170" s="46">
        <v>0</v>
      </c>
      <c r="L170" s="46">
        <v>57100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57100</v>
      </c>
      <c r="S170" s="46">
        <v>0</v>
      </c>
      <c r="T170" s="46">
        <v>0</v>
      </c>
    </row>
    <row r="171" spans="1:20" ht="21.75">
      <c r="A171" s="45" t="s">
        <v>583</v>
      </c>
      <c r="B171" s="45" t="s">
        <v>279</v>
      </c>
      <c r="C171" s="46">
        <v>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61323.69</v>
      </c>
      <c r="K171" s="46">
        <v>0</v>
      </c>
      <c r="L171" s="46">
        <v>61323.69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61323.69</v>
      </c>
      <c r="S171" s="46">
        <v>0</v>
      </c>
      <c r="T171" s="46">
        <v>0</v>
      </c>
    </row>
    <row r="172" spans="1:20" ht="21.75">
      <c r="A172" s="45" t="s">
        <v>584</v>
      </c>
      <c r="B172" s="45" t="s">
        <v>585</v>
      </c>
      <c r="C172" s="46">
        <v>0</v>
      </c>
      <c r="D172" s="46">
        <v>0</v>
      </c>
      <c r="E172" s="46">
        <v>0</v>
      </c>
      <c r="F172" s="46">
        <v>20400</v>
      </c>
      <c r="G172" s="46">
        <v>0</v>
      </c>
      <c r="H172" s="46">
        <v>20400</v>
      </c>
      <c r="I172" s="46">
        <v>0</v>
      </c>
      <c r="J172" s="46">
        <v>0</v>
      </c>
      <c r="K172" s="46">
        <v>0</v>
      </c>
      <c r="L172" s="46">
        <v>20400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20400</v>
      </c>
      <c r="S172" s="46">
        <v>0</v>
      </c>
      <c r="T172" s="46">
        <v>0</v>
      </c>
    </row>
    <row r="173" spans="1:20" ht="21.75">
      <c r="A173" s="45" t="s">
        <v>801</v>
      </c>
      <c r="B173" s="45" t="s">
        <v>802</v>
      </c>
      <c r="C173" s="46">
        <v>0</v>
      </c>
      <c r="D173" s="46">
        <v>0</v>
      </c>
      <c r="E173" s="46">
        <v>0</v>
      </c>
      <c r="F173" s="46">
        <v>28028</v>
      </c>
      <c r="G173" s="46">
        <v>0</v>
      </c>
      <c r="H173" s="46">
        <v>28028</v>
      </c>
      <c r="I173" s="46">
        <v>0</v>
      </c>
      <c r="J173" s="46">
        <v>0</v>
      </c>
      <c r="K173" s="46">
        <v>0</v>
      </c>
      <c r="L173" s="46">
        <v>28028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28028</v>
      </c>
      <c r="S173" s="46">
        <v>0</v>
      </c>
      <c r="T173" s="46">
        <v>0</v>
      </c>
    </row>
    <row r="174" spans="1:20" ht="21.75">
      <c r="A174" s="45" t="s">
        <v>291</v>
      </c>
      <c r="B174" s="45" t="s">
        <v>586</v>
      </c>
      <c r="C174" s="46">
        <v>0</v>
      </c>
      <c r="D174" s="46">
        <v>0</v>
      </c>
      <c r="E174" s="46">
        <v>5215394.11</v>
      </c>
      <c r="F174" s="46">
        <v>0</v>
      </c>
      <c r="G174" s="46">
        <v>5215394.11</v>
      </c>
      <c r="H174" s="46">
        <v>0</v>
      </c>
      <c r="I174" s="46">
        <v>14931.51</v>
      </c>
      <c r="J174" s="46">
        <v>0</v>
      </c>
      <c r="K174" s="46">
        <v>5230325.62</v>
      </c>
      <c r="L174" s="46">
        <v>0</v>
      </c>
      <c r="M174" s="46">
        <v>0</v>
      </c>
      <c r="N174" s="46">
        <v>0</v>
      </c>
      <c r="O174" s="46">
        <v>5230325.62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</row>
    <row r="175" spans="1:20" ht="21.75">
      <c r="A175" s="45" t="s">
        <v>676</v>
      </c>
      <c r="B175" s="45" t="s">
        <v>672</v>
      </c>
      <c r="C175" s="46">
        <v>0</v>
      </c>
      <c r="D175" s="46">
        <v>0</v>
      </c>
      <c r="E175" s="46">
        <v>-219776.85</v>
      </c>
      <c r="F175" s="46">
        <v>0</v>
      </c>
      <c r="G175" s="46">
        <v>0</v>
      </c>
      <c r="H175" s="46">
        <v>219776.85</v>
      </c>
      <c r="I175" s="46">
        <v>219776.85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</row>
    <row r="176" spans="1:20" ht="21.75">
      <c r="A176" s="45" t="s">
        <v>587</v>
      </c>
      <c r="B176" s="45" t="s">
        <v>588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62490.02</v>
      </c>
      <c r="J176" s="46">
        <v>0</v>
      </c>
      <c r="K176" s="46">
        <v>62490.02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62490.02</v>
      </c>
      <c r="R176" s="46">
        <v>0</v>
      </c>
      <c r="S176" s="46">
        <v>0</v>
      </c>
      <c r="T176" s="46">
        <v>0</v>
      </c>
    </row>
    <row r="177" spans="1:20" ht="21.75">
      <c r="A177" s="45" t="s">
        <v>803</v>
      </c>
      <c r="B177" s="45" t="s">
        <v>292</v>
      </c>
      <c r="C177" s="46">
        <v>0</v>
      </c>
      <c r="D177" s="46">
        <v>0</v>
      </c>
      <c r="E177" s="46">
        <v>-736736.99</v>
      </c>
      <c r="F177" s="46">
        <v>0</v>
      </c>
      <c r="G177" s="46">
        <v>0</v>
      </c>
      <c r="H177" s="46">
        <v>736736.99</v>
      </c>
      <c r="I177" s="46">
        <v>736736.99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</row>
    <row r="178" spans="1:20" ht="21.75">
      <c r="A178" s="45" t="s">
        <v>804</v>
      </c>
      <c r="B178" s="45" t="s">
        <v>805</v>
      </c>
      <c r="C178" s="46">
        <v>0</v>
      </c>
      <c r="D178" s="46">
        <v>0</v>
      </c>
      <c r="E178" s="46">
        <v>251900</v>
      </c>
      <c r="F178" s="46">
        <v>0</v>
      </c>
      <c r="G178" s="46">
        <v>251900</v>
      </c>
      <c r="H178" s="46">
        <v>0</v>
      </c>
      <c r="I178" s="46">
        <v>0</v>
      </c>
      <c r="J178" s="46">
        <v>0</v>
      </c>
      <c r="K178" s="46">
        <v>251900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251900</v>
      </c>
      <c r="R178" s="46">
        <v>0</v>
      </c>
      <c r="S178" s="46">
        <v>0</v>
      </c>
      <c r="T178" s="46">
        <v>0</v>
      </c>
    </row>
    <row r="179" spans="1:20" ht="21.75">
      <c r="A179" s="45" t="s">
        <v>293</v>
      </c>
      <c r="B179" s="45" t="s">
        <v>590</v>
      </c>
      <c r="C179" s="46">
        <v>0</v>
      </c>
      <c r="D179" s="46">
        <v>0</v>
      </c>
      <c r="E179" s="46">
        <v>292440</v>
      </c>
      <c r="F179" s="46">
        <v>0</v>
      </c>
      <c r="G179" s="46">
        <v>292440</v>
      </c>
      <c r="H179" s="46">
        <v>0</v>
      </c>
      <c r="I179" s="46">
        <v>0</v>
      </c>
      <c r="J179" s="46">
        <v>0</v>
      </c>
      <c r="K179" s="46">
        <v>292440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292440</v>
      </c>
      <c r="R179" s="46">
        <v>0</v>
      </c>
      <c r="S179" s="46">
        <v>0</v>
      </c>
      <c r="T179" s="46">
        <v>0</v>
      </c>
    </row>
    <row r="180" spans="1:20" ht="21.75">
      <c r="A180" s="45" t="s">
        <v>294</v>
      </c>
      <c r="B180" s="45" t="s">
        <v>295</v>
      </c>
      <c r="C180" s="46">
        <v>0</v>
      </c>
      <c r="D180" s="46">
        <v>0</v>
      </c>
      <c r="E180" s="46">
        <v>20313520.31</v>
      </c>
      <c r="F180" s="46">
        <v>0</v>
      </c>
      <c r="G180" s="46">
        <v>20313520.31</v>
      </c>
      <c r="H180" s="46">
        <v>0</v>
      </c>
      <c r="I180" s="46">
        <v>0</v>
      </c>
      <c r="J180" s="46">
        <v>0</v>
      </c>
      <c r="K180" s="46">
        <v>20313520.31</v>
      </c>
      <c r="L180" s="46">
        <v>0</v>
      </c>
      <c r="M180" s="46">
        <v>0</v>
      </c>
      <c r="N180" s="46">
        <v>0</v>
      </c>
      <c r="O180" s="46">
        <v>20313520.31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</row>
    <row r="181" spans="1:20" ht="21.75">
      <c r="A181" s="45" t="s">
        <v>591</v>
      </c>
      <c r="B181" s="45" t="s">
        <v>592</v>
      </c>
      <c r="C181" s="46">
        <v>0</v>
      </c>
      <c r="D181" s="46">
        <v>0</v>
      </c>
      <c r="E181" s="46">
        <v>107286407.65</v>
      </c>
      <c r="F181" s="46">
        <v>0</v>
      </c>
      <c r="G181" s="46">
        <v>107286407.65</v>
      </c>
      <c r="H181" s="46">
        <v>0</v>
      </c>
      <c r="I181" s="46">
        <v>0</v>
      </c>
      <c r="J181" s="46">
        <v>0</v>
      </c>
      <c r="K181" s="46">
        <v>107286407.65</v>
      </c>
      <c r="L181" s="46">
        <v>0</v>
      </c>
      <c r="M181" s="46">
        <v>0</v>
      </c>
      <c r="N181" s="46">
        <v>0</v>
      </c>
      <c r="O181" s="46">
        <v>107286407.65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</row>
    <row r="182" spans="1:20" ht="21.75">
      <c r="A182" s="45" t="s">
        <v>593</v>
      </c>
      <c r="B182" s="45" t="s">
        <v>594</v>
      </c>
      <c r="C182" s="46">
        <v>0</v>
      </c>
      <c r="D182" s="46">
        <v>0</v>
      </c>
      <c r="E182" s="46">
        <v>3617.99</v>
      </c>
      <c r="F182" s="46">
        <v>0</v>
      </c>
      <c r="G182" s="46">
        <v>3617.99</v>
      </c>
      <c r="H182" s="46">
        <v>0</v>
      </c>
      <c r="I182" s="46">
        <v>0</v>
      </c>
      <c r="J182" s="46">
        <v>0</v>
      </c>
      <c r="K182" s="46">
        <v>3617.99</v>
      </c>
      <c r="L182" s="46">
        <v>0</v>
      </c>
      <c r="M182" s="46">
        <v>0</v>
      </c>
      <c r="N182" s="46">
        <v>0</v>
      </c>
      <c r="O182" s="46">
        <v>3617.99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</row>
    <row r="183" spans="1:20" ht="21.75">
      <c r="A183" s="45" t="s">
        <v>595</v>
      </c>
      <c r="B183" s="45" t="s">
        <v>296</v>
      </c>
      <c r="C183" s="46">
        <v>0</v>
      </c>
      <c r="D183" s="46">
        <v>0</v>
      </c>
      <c r="E183" s="46">
        <v>0</v>
      </c>
      <c r="F183" s="46">
        <v>280110.76</v>
      </c>
      <c r="G183" s="46">
        <v>0</v>
      </c>
      <c r="H183" s="46">
        <v>280110.76</v>
      </c>
      <c r="I183" s="46">
        <v>0</v>
      </c>
      <c r="J183" s="46">
        <v>0</v>
      </c>
      <c r="K183" s="46">
        <v>0</v>
      </c>
      <c r="L183" s="46">
        <v>280110.76</v>
      </c>
      <c r="M183" s="46">
        <v>0</v>
      </c>
      <c r="N183" s="46">
        <v>0</v>
      </c>
      <c r="O183" s="46">
        <v>0</v>
      </c>
      <c r="P183" s="46">
        <v>280110.76</v>
      </c>
      <c r="Q183" s="46">
        <v>0</v>
      </c>
      <c r="R183" s="46">
        <v>0</v>
      </c>
      <c r="S183" s="46">
        <v>0</v>
      </c>
      <c r="T183" s="46">
        <v>0</v>
      </c>
    </row>
    <row r="184" spans="1:20" ht="21.75">
      <c r="A184" s="45" t="s">
        <v>596</v>
      </c>
      <c r="B184" s="45" t="s">
        <v>597</v>
      </c>
      <c r="C184" s="46">
        <v>0</v>
      </c>
      <c r="D184" s="46">
        <v>0</v>
      </c>
      <c r="E184" s="46">
        <v>2015520</v>
      </c>
      <c r="F184" s="46">
        <v>0</v>
      </c>
      <c r="G184" s="46">
        <v>2015520</v>
      </c>
      <c r="H184" s="46">
        <v>0</v>
      </c>
      <c r="I184" s="46">
        <v>0</v>
      </c>
      <c r="J184" s="46">
        <v>0</v>
      </c>
      <c r="K184" s="46">
        <v>2015520</v>
      </c>
      <c r="L184" s="46">
        <v>0</v>
      </c>
      <c r="M184" s="46">
        <v>0</v>
      </c>
      <c r="N184" s="46">
        <v>0</v>
      </c>
      <c r="O184" s="46">
        <v>2015520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</row>
    <row r="185" spans="1:20" ht="21.75">
      <c r="A185" s="45" t="s">
        <v>598</v>
      </c>
      <c r="B185" s="45" t="s">
        <v>599</v>
      </c>
      <c r="C185" s="46">
        <v>0</v>
      </c>
      <c r="D185" s="46">
        <v>0</v>
      </c>
      <c r="E185" s="46">
        <v>718774.2</v>
      </c>
      <c r="F185" s="46">
        <v>89808</v>
      </c>
      <c r="G185" s="46">
        <v>628966.2</v>
      </c>
      <c r="H185" s="46">
        <v>0</v>
      </c>
      <c r="I185" s="46">
        <v>0</v>
      </c>
      <c r="J185" s="46">
        <v>0</v>
      </c>
      <c r="K185" s="46">
        <v>628966.2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628966.2</v>
      </c>
      <c r="R185" s="46">
        <v>0</v>
      </c>
      <c r="S185" s="46">
        <v>0</v>
      </c>
      <c r="T185" s="46">
        <v>0</v>
      </c>
    </row>
    <row r="186" spans="1:20" ht="21.75">
      <c r="A186" s="45" t="s">
        <v>806</v>
      </c>
      <c r="B186" s="45" t="s">
        <v>807</v>
      </c>
      <c r="C186" s="46">
        <v>0</v>
      </c>
      <c r="D186" s="46">
        <v>0</v>
      </c>
      <c r="E186" s="46">
        <v>17940</v>
      </c>
      <c r="F186" s="46">
        <v>0</v>
      </c>
      <c r="G186" s="46">
        <v>17940</v>
      </c>
      <c r="H186" s="46">
        <v>0</v>
      </c>
      <c r="I186" s="46">
        <v>0</v>
      </c>
      <c r="J186" s="46">
        <v>0</v>
      </c>
      <c r="K186" s="46">
        <v>17940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17940</v>
      </c>
      <c r="R186" s="46">
        <v>0</v>
      </c>
      <c r="S186" s="46">
        <v>0</v>
      </c>
      <c r="T186" s="46">
        <v>0</v>
      </c>
    </row>
    <row r="187" spans="1:20" ht="21.75">
      <c r="A187" s="45" t="s">
        <v>600</v>
      </c>
      <c r="B187" s="45" t="s">
        <v>297</v>
      </c>
      <c r="C187" s="46">
        <v>0</v>
      </c>
      <c r="D187" s="46">
        <v>0</v>
      </c>
      <c r="E187" s="46">
        <v>55890.41</v>
      </c>
      <c r="F187" s="46">
        <v>0</v>
      </c>
      <c r="G187" s="46">
        <v>55890.41</v>
      </c>
      <c r="H187" s="46">
        <v>0</v>
      </c>
      <c r="I187" s="46">
        <v>11835.62</v>
      </c>
      <c r="J187" s="46">
        <v>0</v>
      </c>
      <c r="K187" s="46">
        <v>67726.03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67726.03</v>
      </c>
      <c r="R187" s="46">
        <v>0</v>
      </c>
      <c r="S187" s="46">
        <v>0</v>
      </c>
      <c r="T187" s="46">
        <v>0</v>
      </c>
    </row>
    <row r="188" spans="1:20" ht="21.75">
      <c r="A188" s="45" t="s">
        <v>601</v>
      </c>
      <c r="B188" s="45" t="s">
        <v>602</v>
      </c>
      <c r="C188" s="46">
        <v>0</v>
      </c>
      <c r="D188" s="46">
        <v>0</v>
      </c>
      <c r="E188" s="46">
        <v>534292.7</v>
      </c>
      <c r="F188" s="46">
        <v>0</v>
      </c>
      <c r="G188" s="46">
        <v>534292.7</v>
      </c>
      <c r="H188" s="46">
        <v>0</v>
      </c>
      <c r="I188" s="46">
        <v>0</v>
      </c>
      <c r="J188" s="46">
        <v>0</v>
      </c>
      <c r="K188" s="46">
        <v>534292.7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534292.7</v>
      </c>
      <c r="R188" s="46">
        <v>0</v>
      </c>
      <c r="S188" s="46">
        <v>0</v>
      </c>
      <c r="T188" s="46">
        <v>0</v>
      </c>
    </row>
    <row r="189" spans="1:20" ht="21.75">
      <c r="A189" s="45" t="s">
        <v>298</v>
      </c>
      <c r="B189" s="45" t="s">
        <v>603</v>
      </c>
      <c r="C189" s="46">
        <v>0</v>
      </c>
      <c r="D189" s="46">
        <v>0</v>
      </c>
      <c r="E189" s="46">
        <v>728520</v>
      </c>
      <c r="F189" s="46">
        <v>0</v>
      </c>
      <c r="G189" s="46">
        <v>728520</v>
      </c>
      <c r="H189" s="46">
        <v>0</v>
      </c>
      <c r="I189" s="46">
        <v>0</v>
      </c>
      <c r="J189" s="46">
        <v>0</v>
      </c>
      <c r="K189" s="46">
        <v>728520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728520</v>
      </c>
      <c r="R189" s="46">
        <v>0</v>
      </c>
      <c r="S189" s="46">
        <v>0</v>
      </c>
      <c r="T189" s="46">
        <v>0</v>
      </c>
    </row>
    <row r="190" spans="1:20" ht="21.75">
      <c r="A190" s="45" t="s">
        <v>299</v>
      </c>
      <c r="B190" s="45" t="s">
        <v>604</v>
      </c>
      <c r="C190" s="46">
        <v>0</v>
      </c>
      <c r="D190" s="46">
        <v>0</v>
      </c>
      <c r="E190" s="46">
        <v>165600</v>
      </c>
      <c r="F190" s="46">
        <v>0</v>
      </c>
      <c r="G190" s="46">
        <v>165600</v>
      </c>
      <c r="H190" s="46">
        <v>0</v>
      </c>
      <c r="I190" s="46">
        <v>0</v>
      </c>
      <c r="J190" s="46">
        <v>0</v>
      </c>
      <c r="K190" s="46">
        <v>165600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165600</v>
      </c>
      <c r="R190" s="46">
        <v>0</v>
      </c>
      <c r="S190" s="46">
        <v>0</v>
      </c>
      <c r="T190" s="46">
        <v>0</v>
      </c>
    </row>
    <row r="191" spans="1:20" ht="21.75">
      <c r="A191" s="45" t="s">
        <v>300</v>
      </c>
      <c r="B191" s="45" t="s">
        <v>301</v>
      </c>
      <c r="C191" s="46">
        <v>0</v>
      </c>
      <c r="D191" s="46">
        <v>0</v>
      </c>
      <c r="E191" s="46">
        <v>31810</v>
      </c>
      <c r="F191" s="46">
        <v>0</v>
      </c>
      <c r="G191" s="46">
        <v>31810</v>
      </c>
      <c r="H191" s="46">
        <v>0</v>
      </c>
      <c r="I191" s="46">
        <v>0</v>
      </c>
      <c r="J191" s="46">
        <v>0</v>
      </c>
      <c r="K191" s="46">
        <v>31810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31810</v>
      </c>
      <c r="R191" s="46">
        <v>0</v>
      </c>
      <c r="S191" s="46">
        <v>0</v>
      </c>
      <c r="T191" s="46">
        <v>0</v>
      </c>
    </row>
    <row r="192" spans="1:20" ht="21.75">
      <c r="A192" s="45" t="s">
        <v>302</v>
      </c>
      <c r="B192" s="45" t="s">
        <v>605</v>
      </c>
      <c r="C192" s="46">
        <v>0</v>
      </c>
      <c r="D192" s="46">
        <v>0</v>
      </c>
      <c r="E192" s="46">
        <v>41724.12</v>
      </c>
      <c r="F192" s="46">
        <v>0</v>
      </c>
      <c r="G192" s="46">
        <v>41724.12</v>
      </c>
      <c r="H192" s="46">
        <v>0</v>
      </c>
      <c r="I192" s="46">
        <v>0</v>
      </c>
      <c r="J192" s="46">
        <v>0</v>
      </c>
      <c r="K192" s="46">
        <v>41724.12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41724.12</v>
      </c>
      <c r="R192" s="46">
        <v>0</v>
      </c>
      <c r="S192" s="46">
        <v>0</v>
      </c>
      <c r="T192" s="46">
        <v>0</v>
      </c>
    </row>
    <row r="193" spans="1:20" ht="21.75">
      <c r="A193" s="45" t="s">
        <v>606</v>
      </c>
      <c r="B193" s="45" t="s">
        <v>303</v>
      </c>
      <c r="C193" s="46">
        <v>0</v>
      </c>
      <c r="D193" s="46">
        <v>0</v>
      </c>
      <c r="E193" s="46">
        <v>506498.47</v>
      </c>
      <c r="F193" s="46">
        <v>180755.58</v>
      </c>
      <c r="G193" s="46">
        <v>325742.89</v>
      </c>
      <c r="H193" s="46">
        <v>0</v>
      </c>
      <c r="I193" s="46">
        <v>0</v>
      </c>
      <c r="J193" s="46">
        <v>0</v>
      </c>
      <c r="K193" s="46">
        <v>325742.89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325742.89</v>
      </c>
      <c r="R193" s="46">
        <v>0</v>
      </c>
      <c r="S193" s="46">
        <v>0</v>
      </c>
      <c r="T193" s="46">
        <v>0</v>
      </c>
    </row>
    <row r="194" spans="1:20" ht="21.75">
      <c r="A194" s="45" t="s">
        <v>607</v>
      </c>
      <c r="B194" s="45" t="s">
        <v>304</v>
      </c>
      <c r="C194" s="46">
        <v>0</v>
      </c>
      <c r="D194" s="46">
        <v>0</v>
      </c>
      <c r="E194" s="46">
        <v>24015.67</v>
      </c>
      <c r="F194" s="46">
        <v>0</v>
      </c>
      <c r="G194" s="46">
        <v>24015.67</v>
      </c>
      <c r="H194" s="46">
        <v>0</v>
      </c>
      <c r="I194" s="46">
        <v>0</v>
      </c>
      <c r="J194" s="46">
        <v>0</v>
      </c>
      <c r="K194" s="46">
        <v>24015.67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24015.67</v>
      </c>
      <c r="R194" s="46">
        <v>0</v>
      </c>
      <c r="S194" s="46">
        <v>0</v>
      </c>
      <c r="T194" s="46">
        <v>0</v>
      </c>
    </row>
    <row r="195" spans="1:20" ht="21.75">
      <c r="A195" s="45" t="s">
        <v>608</v>
      </c>
      <c r="B195" s="45" t="s">
        <v>357</v>
      </c>
      <c r="C195" s="46">
        <v>0</v>
      </c>
      <c r="D195" s="46">
        <v>0</v>
      </c>
      <c r="E195" s="46">
        <v>35470.69</v>
      </c>
      <c r="F195" s="46">
        <v>0.09</v>
      </c>
      <c r="G195" s="46">
        <v>35470.6</v>
      </c>
      <c r="H195" s="46">
        <v>0</v>
      </c>
      <c r="I195" s="46">
        <v>0</v>
      </c>
      <c r="J195" s="46">
        <v>0</v>
      </c>
      <c r="K195" s="46">
        <v>35470.6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35470.6</v>
      </c>
      <c r="R195" s="46">
        <v>0</v>
      </c>
      <c r="S195" s="46">
        <v>0</v>
      </c>
      <c r="T195" s="46">
        <v>0</v>
      </c>
    </row>
    <row r="196" spans="1:20" ht="21.75">
      <c r="A196" s="45" t="s">
        <v>609</v>
      </c>
      <c r="B196" s="45" t="s">
        <v>429</v>
      </c>
      <c r="C196" s="46">
        <v>0</v>
      </c>
      <c r="D196" s="46">
        <v>0</v>
      </c>
      <c r="E196" s="46">
        <v>100020</v>
      </c>
      <c r="F196" s="46">
        <v>0</v>
      </c>
      <c r="G196" s="46">
        <v>100020</v>
      </c>
      <c r="H196" s="46">
        <v>0</v>
      </c>
      <c r="I196" s="46">
        <v>0</v>
      </c>
      <c r="J196" s="46">
        <v>0</v>
      </c>
      <c r="K196" s="46">
        <v>100020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100020</v>
      </c>
      <c r="R196" s="46">
        <v>0</v>
      </c>
      <c r="S196" s="46">
        <v>0</v>
      </c>
      <c r="T196" s="46">
        <v>0</v>
      </c>
    </row>
    <row r="197" spans="1:20" ht="21.75">
      <c r="A197" s="45" t="s">
        <v>610</v>
      </c>
      <c r="B197" s="45" t="s">
        <v>611</v>
      </c>
      <c r="C197" s="46">
        <v>0</v>
      </c>
      <c r="D197" s="46">
        <v>0</v>
      </c>
      <c r="E197" s="46">
        <v>18297</v>
      </c>
      <c r="F197" s="46">
        <v>0</v>
      </c>
      <c r="G197" s="46">
        <v>18297</v>
      </c>
      <c r="H197" s="46">
        <v>0</v>
      </c>
      <c r="I197" s="46">
        <v>0</v>
      </c>
      <c r="J197" s="46">
        <v>0</v>
      </c>
      <c r="K197" s="46">
        <v>18297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18297</v>
      </c>
      <c r="R197" s="46">
        <v>0</v>
      </c>
      <c r="S197" s="46">
        <v>0</v>
      </c>
      <c r="T197" s="46">
        <v>0</v>
      </c>
    </row>
    <row r="198" spans="1:20" ht="21.75">
      <c r="A198" s="45" t="s">
        <v>612</v>
      </c>
      <c r="B198" s="45" t="s">
        <v>332</v>
      </c>
      <c r="C198" s="46">
        <v>0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727900.39</v>
      </c>
      <c r="J198" s="46">
        <v>0</v>
      </c>
      <c r="K198" s="46">
        <v>727900.39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727900.39</v>
      </c>
      <c r="R198" s="46">
        <v>0</v>
      </c>
      <c r="S198" s="46">
        <v>0</v>
      </c>
      <c r="T198" s="46">
        <v>0</v>
      </c>
    </row>
    <row r="199" spans="1:20" ht="21.75">
      <c r="A199" s="45" t="s">
        <v>613</v>
      </c>
      <c r="B199" s="45" t="s">
        <v>614</v>
      </c>
      <c r="C199" s="46">
        <v>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52000</v>
      </c>
      <c r="J199" s="46">
        <v>0</v>
      </c>
      <c r="K199" s="46">
        <v>52000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52000</v>
      </c>
      <c r="R199" s="46">
        <v>0</v>
      </c>
      <c r="S199" s="46">
        <v>0</v>
      </c>
      <c r="T199" s="46">
        <v>0</v>
      </c>
    </row>
    <row r="200" spans="1:20" ht="21.75">
      <c r="A200" s="45" t="s">
        <v>615</v>
      </c>
      <c r="B200" s="45" t="s">
        <v>616</v>
      </c>
      <c r="C200" s="46">
        <v>0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18064.44</v>
      </c>
      <c r="J200" s="46">
        <v>0</v>
      </c>
      <c r="K200" s="46">
        <v>18064.44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18064.44</v>
      </c>
      <c r="R200" s="46">
        <v>0</v>
      </c>
      <c r="S200" s="46">
        <v>0</v>
      </c>
      <c r="T200" s="46">
        <v>0</v>
      </c>
    </row>
    <row r="201" spans="1:20" ht="21.75">
      <c r="A201" s="45" t="s">
        <v>617</v>
      </c>
      <c r="B201" s="45" t="s">
        <v>618</v>
      </c>
      <c r="C201" s="46">
        <v>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21536.76</v>
      </c>
      <c r="J201" s="46">
        <v>0</v>
      </c>
      <c r="K201" s="46">
        <v>21536.76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21536.76</v>
      </c>
      <c r="R201" s="46">
        <v>0</v>
      </c>
      <c r="S201" s="46">
        <v>0</v>
      </c>
      <c r="T201" s="46">
        <v>0</v>
      </c>
    </row>
    <row r="202" spans="1:20" ht="21.75">
      <c r="A202" s="45" t="s">
        <v>808</v>
      </c>
      <c r="B202" s="45" t="s">
        <v>809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16000</v>
      </c>
      <c r="J202" s="46">
        <v>0</v>
      </c>
      <c r="K202" s="46">
        <v>16000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16000</v>
      </c>
      <c r="R202" s="46">
        <v>0</v>
      </c>
      <c r="S202" s="46">
        <v>0</v>
      </c>
      <c r="T202" s="46">
        <v>0</v>
      </c>
    </row>
    <row r="203" spans="1:20" ht="21.75">
      <c r="A203" s="45" t="s">
        <v>619</v>
      </c>
      <c r="B203" s="45" t="s">
        <v>620</v>
      </c>
      <c r="C203" s="46">
        <v>0</v>
      </c>
      <c r="D203" s="46">
        <v>0</v>
      </c>
      <c r="E203" s="46">
        <v>77023953</v>
      </c>
      <c r="F203" s="46">
        <v>0</v>
      </c>
      <c r="G203" s="46">
        <v>77023953</v>
      </c>
      <c r="H203" s="46">
        <v>0</v>
      </c>
      <c r="I203" s="46">
        <v>0</v>
      </c>
      <c r="J203" s="46">
        <v>0</v>
      </c>
      <c r="K203" s="46">
        <v>77023953</v>
      </c>
      <c r="L203" s="46">
        <v>0</v>
      </c>
      <c r="M203" s="46">
        <v>0</v>
      </c>
      <c r="N203" s="46">
        <v>0</v>
      </c>
      <c r="O203" s="46">
        <v>77023953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</row>
    <row r="204" spans="1:20" ht="21.75">
      <c r="A204" s="45" t="s">
        <v>621</v>
      </c>
      <c r="B204" s="45" t="s">
        <v>305</v>
      </c>
      <c r="C204" s="46">
        <v>0</v>
      </c>
      <c r="D204" s="46">
        <v>0</v>
      </c>
      <c r="E204" s="46">
        <v>68714.88</v>
      </c>
      <c r="F204" s="46">
        <v>0</v>
      </c>
      <c r="G204" s="46">
        <v>68714.88</v>
      </c>
      <c r="H204" s="46">
        <v>0</v>
      </c>
      <c r="I204" s="46">
        <v>0</v>
      </c>
      <c r="J204" s="46">
        <v>0</v>
      </c>
      <c r="K204" s="46">
        <v>68714.88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68714.88</v>
      </c>
      <c r="R204" s="46">
        <v>0</v>
      </c>
      <c r="S204" s="46">
        <v>0</v>
      </c>
      <c r="T204" s="46">
        <v>0</v>
      </c>
    </row>
    <row r="205" spans="1:20" ht="21.75">
      <c r="A205" s="45" t="s">
        <v>622</v>
      </c>
      <c r="B205" s="45" t="s">
        <v>623</v>
      </c>
      <c r="C205" s="46">
        <v>0</v>
      </c>
      <c r="D205" s="46">
        <v>0</v>
      </c>
      <c r="E205" s="46">
        <v>651.9</v>
      </c>
      <c r="F205" s="46">
        <v>0</v>
      </c>
      <c r="G205" s="46">
        <v>651.9</v>
      </c>
      <c r="H205" s="46">
        <v>0</v>
      </c>
      <c r="I205" s="46">
        <v>0</v>
      </c>
      <c r="J205" s="46">
        <v>0</v>
      </c>
      <c r="K205" s="46">
        <v>651.9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651.9</v>
      </c>
      <c r="R205" s="46">
        <v>0</v>
      </c>
      <c r="S205" s="46">
        <v>0</v>
      </c>
      <c r="T205" s="46">
        <v>0</v>
      </c>
    </row>
    <row r="206" spans="1:20" ht="21.75">
      <c r="A206" s="45" t="s">
        <v>680</v>
      </c>
      <c r="B206" s="45" t="s">
        <v>297</v>
      </c>
      <c r="C206" s="46">
        <v>0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17671.23</v>
      </c>
      <c r="J206" s="46">
        <v>0</v>
      </c>
      <c r="K206" s="46">
        <v>17671.23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17671.23</v>
      </c>
      <c r="R206" s="46">
        <v>0</v>
      </c>
      <c r="S206" s="46">
        <v>0</v>
      </c>
      <c r="T206" s="46">
        <v>0</v>
      </c>
    </row>
    <row r="207" spans="1:20" ht="21.75">
      <c r="A207" s="45" t="s">
        <v>624</v>
      </c>
      <c r="B207" s="45" t="s">
        <v>355</v>
      </c>
      <c r="C207" s="46">
        <v>0</v>
      </c>
      <c r="D207" s="46">
        <v>0</v>
      </c>
      <c r="E207" s="46">
        <v>116096.51</v>
      </c>
      <c r="F207" s="46">
        <v>651.9</v>
      </c>
      <c r="G207" s="46">
        <v>115444.61</v>
      </c>
      <c r="H207" s="46">
        <v>0</v>
      </c>
      <c r="I207" s="46">
        <v>0</v>
      </c>
      <c r="J207" s="46">
        <v>0</v>
      </c>
      <c r="K207" s="46">
        <v>115444.61</v>
      </c>
      <c r="L207" s="46">
        <v>0</v>
      </c>
      <c r="M207" s="46">
        <v>115444.61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</row>
    <row r="208" spans="1:20" ht="21.75">
      <c r="A208" s="45" t="s">
        <v>625</v>
      </c>
      <c r="B208" s="45" t="s">
        <v>356</v>
      </c>
      <c r="C208" s="46">
        <v>0</v>
      </c>
      <c r="D208" s="46">
        <v>0</v>
      </c>
      <c r="E208" s="46">
        <v>62598.17</v>
      </c>
      <c r="F208" s="46">
        <v>1643.92</v>
      </c>
      <c r="G208" s="46">
        <v>60954.25</v>
      </c>
      <c r="H208" s="46">
        <v>0</v>
      </c>
      <c r="I208" s="46">
        <v>0</v>
      </c>
      <c r="J208" s="46">
        <v>0</v>
      </c>
      <c r="K208" s="46">
        <v>60954.25</v>
      </c>
      <c r="L208" s="46">
        <v>0</v>
      </c>
      <c r="M208" s="46">
        <v>60954.25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</row>
    <row r="209" spans="1:20" ht="21.75">
      <c r="A209" s="45" t="s">
        <v>626</v>
      </c>
      <c r="B209" s="45" t="s">
        <v>430</v>
      </c>
      <c r="C209" s="46">
        <v>0</v>
      </c>
      <c r="D209" s="46">
        <v>0</v>
      </c>
      <c r="E209" s="46">
        <v>2033</v>
      </c>
      <c r="F209" s="46">
        <v>0</v>
      </c>
      <c r="G209" s="46">
        <v>2033</v>
      </c>
      <c r="H209" s="46">
        <v>0</v>
      </c>
      <c r="I209" s="46">
        <v>0</v>
      </c>
      <c r="J209" s="46">
        <v>0</v>
      </c>
      <c r="K209" s="46">
        <v>2033</v>
      </c>
      <c r="L209" s="46">
        <v>0</v>
      </c>
      <c r="M209" s="46">
        <v>2033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</row>
    <row r="210" spans="1:20" ht="21.75">
      <c r="A210" s="45" t="s">
        <v>627</v>
      </c>
      <c r="B210" s="45" t="s">
        <v>628</v>
      </c>
      <c r="C210" s="46">
        <v>0</v>
      </c>
      <c r="D210" s="46">
        <v>0</v>
      </c>
      <c r="E210" s="46">
        <v>218700</v>
      </c>
      <c r="F210" s="46">
        <v>0</v>
      </c>
      <c r="G210" s="46">
        <v>218700</v>
      </c>
      <c r="H210" s="46">
        <v>0</v>
      </c>
      <c r="I210" s="46">
        <v>0</v>
      </c>
      <c r="J210" s="46">
        <v>0</v>
      </c>
      <c r="K210" s="46">
        <v>218700</v>
      </c>
      <c r="L210" s="46">
        <v>0</v>
      </c>
      <c r="M210" s="46">
        <v>218700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</row>
    <row r="211" spans="1:20" ht="21.75">
      <c r="A211" s="45" t="s">
        <v>629</v>
      </c>
      <c r="B211" s="45" t="s">
        <v>630</v>
      </c>
      <c r="C211" s="46">
        <v>0</v>
      </c>
      <c r="D211" s="46">
        <v>0</v>
      </c>
      <c r="E211" s="46">
        <v>79285</v>
      </c>
      <c r="F211" s="46">
        <v>905.5</v>
      </c>
      <c r="G211" s="46">
        <v>78379.5</v>
      </c>
      <c r="H211" s="46">
        <v>0</v>
      </c>
      <c r="I211" s="46">
        <v>0</v>
      </c>
      <c r="J211" s="46">
        <v>0</v>
      </c>
      <c r="K211" s="46">
        <v>78379.5</v>
      </c>
      <c r="L211" s="46">
        <v>0</v>
      </c>
      <c r="M211" s="46">
        <v>78379.5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</row>
    <row r="212" spans="1:20" ht="21.75">
      <c r="A212" s="45" t="s">
        <v>631</v>
      </c>
      <c r="B212" s="45" t="s">
        <v>632</v>
      </c>
      <c r="C212" s="46">
        <v>0</v>
      </c>
      <c r="D212" s="46">
        <v>0</v>
      </c>
      <c r="E212" s="46">
        <v>121694.59</v>
      </c>
      <c r="F212" s="46">
        <v>9000</v>
      </c>
      <c r="G212" s="46">
        <v>112694.59</v>
      </c>
      <c r="H212" s="46">
        <v>0</v>
      </c>
      <c r="I212" s="46">
        <v>0</v>
      </c>
      <c r="J212" s="46">
        <v>0</v>
      </c>
      <c r="K212" s="46">
        <v>112694.59</v>
      </c>
      <c r="L212" s="46">
        <v>0</v>
      </c>
      <c r="M212" s="46">
        <v>112694.59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</row>
    <row r="213" spans="1:20" ht="21.75">
      <c r="A213" s="45" t="s">
        <v>633</v>
      </c>
      <c r="B213" s="45" t="s">
        <v>358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14400</v>
      </c>
      <c r="J213" s="46">
        <v>0</v>
      </c>
      <c r="K213" s="46">
        <v>14400</v>
      </c>
      <c r="L213" s="46">
        <v>0</v>
      </c>
      <c r="M213" s="46">
        <v>14400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</row>
    <row r="214" spans="1:20" ht="21.75">
      <c r="A214" s="45" t="s">
        <v>634</v>
      </c>
      <c r="B214" s="45" t="s">
        <v>635</v>
      </c>
      <c r="C214" s="46">
        <v>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140418.58</v>
      </c>
      <c r="J214" s="46">
        <v>0</v>
      </c>
      <c r="K214" s="46">
        <v>140418.58</v>
      </c>
      <c r="L214" s="46">
        <v>0</v>
      </c>
      <c r="M214" s="46">
        <v>140418.58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</row>
    <row r="215" spans="1:20" ht="21.75">
      <c r="A215" s="45" t="s">
        <v>636</v>
      </c>
      <c r="B215" s="45" t="s">
        <v>637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273000</v>
      </c>
      <c r="J215" s="46">
        <v>0</v>
      </c>
      <c r="K215" s="46">
        <v>273000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273000</v>
      </c>
      <c r="R215" s="46">
        <v>0</v>
      </c>
      <c r="S215" s="46">
        <v>0</v>
      </c>
      <c r="T215" s="46">
        <v>0</v>
      </c>
    </row>
    <row r="216" spans="1:20" ht="21.75">
      <c r="A216" s="45" t="s">
        <v>638</v>
      </c>
      <c r="B216" s="45" t="s">
        <v>305</v>
      </c>
      <c r="C216" s="46">
        <v>0</v>
      </c>
      <c r="D216" s="46">
        <v>0</v>
      </c>
      <c r="E216" s="46">
        <v>2000</v>
      </c>
      <c r="F216" s="46">
        <v>2000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</row>
    <row r="217" spans="1:20" ht="21.75">
      <c r="A217" s="45" t="s">
        <v>681</v>
      </c>
      <c r="B217" s="45" t="s">
        <v>810</v>
      </c>
      <c r="C217" s="46">
        <v>0</v>
      </c>
      <c r="D217" s="46">
        <v>0</v>
      </c>
      <c r="E217" s="46">
        <v>2400</v>
      </c>
      <c r="F217" s="46">
        <v>300</v>
      </c>
      <c r="G217" s="46">
        <v>2100</v>
      </c>
      <c r="H217" s="46">
        <v>0</v>
      </c>
      <c r="I217" s="46">
        <v>0</v>
      </c>
      <c r="J217" s="46">
        <v>0</v>
      </c>
      <c r="K217" s="46">
        <v>2100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2100</v>
      </c>
      <c r="R217" s="46">
        <v>0</v>
      </c>
      <c r="S217" s="46">
        <v>0</v>
      </c>
      <c r="T217" s="46">
        <v>0</v>
      </c>
    </row>
    <row r="218" spans="1:20" ht="21.75">
      <c r="A218" s="45" t="s">
        <v>306</v>
      </c>
      <c r="B218" s="45" t="s">
        <v>307</v>
      </c>
      <c r="C218" s="46">
        <v>0</v>
      </c>
      <c r="D218" s="46">
        <v>0</v>
      </c>
      <c r="E218" s="46">
        <v>2505960</v>
      </c>
      <c r="F218" s="46">
        <v>0</v>
      </c>
      <c r="G218" s="46">
        <v>2505960</v>
      </c>
      <c r="H218" s="46">
        <v>0</v>
      </c>
      <c r="I218" s="46">
        <v>0</v>
      </c>
      <c r="J218" s="46">
        <v>0</v>
      </c>
      <c r="K218" s="46">
        <v>2505960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2505960</v>
      </c>
      <c r="R218" s="46">
        <v>0</v>
      </c>
      <c r="S218" s="46">
        <v>0</v>
      </c>
      <c r="T218" s="46">
        <v>0</v>
      </c>
    </row>
    <row r="219" spans="1:20" ht="21.75">
      <c r="A219" s="45" t="s">
        <v>308</v>
      </c>
      <c r="B219" s="45" t="s">
        <v>639</v>
      </c>
      <c r="C219" s="46">
        <v>0</v>
      </c>
      <c r="D219" s="46">
        <v>0</v>
      </c>
      <c r="E219" s="46">
        <v>128650</v>
      </c>
      <c r="F219" s="46">
        <v>0</v>
      </c>
      <c r="G219" s="46">
        <v>128650</v>
      </c>
      <c r="H219" s="46">
        <v>0</v>
      </c>
      <c r="I219" s="46">
        <v>0</v>
      </c>
      <c r="J219" s="46">
        <v>0</v>
      </c>
      <c r="K219" s="46">
        <v>128650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128650</v>
      </c>
      <c r="R219" s="46">
        <v>0</v>
      </c>
      <c r="S219" s="46">
        <v>0</v>
      </c>
      <c r="T219" s="46">
        <v>0</v>
      </c>
    </row>
    <row r="220" spans="1:20" ht="21.75">
      <c r="A220" s="45" t="s">
        <v>309</v>
      </c>
      <c r="B220" s="45" t="s">
        <v>640</v>
      </c>
      <c r="C220" s="46">
        <v>0</v>
      </c>
      <c r="D220" s="46">
        <v>0</v>
      </c>
      <c r="E220" s="46">
        <v>9150</v>
      </c>
      <c r="F220" s="46">
        <v>0</v>
      </c>
      <c r="G220" s="46">
        <v>9150</v>
      </c>
      <c r="H220" s="46">
        <v>0</v>
      </c>
      <c r="I220" s="46">
        <v>0</v>
      </c>
      <c r="J220" s="46">
        <v>0</v>
      </c>
      <c r="K220" s="46">
        <v>9150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9150</v>
      </c>
      <c r="R220" s="46">
        <v>0</v>
      </c>
      <c r="S220" s="46">
        <v>0</v>
      </c>
      <c r="T220" s="46">
        <v>0</v>
      </c>
    </row>
    <row r="221" spans="1:20" ht="21.75">
      <c r="A221" s="45" t="s">
        <v>310</v>
      </c>
      <c r="B221" s="45" t="s">
        <v>311</v>
      </c>
      <c r="C221" s="46">
        <v>0</v>
      </c>
      <c r="D221" s="46">
        <v>0</v>
      </c>
      <c r="E221" s="46">
        <v>103500</v>
      </c>
      <c r="F221" s="46">
        <v>0</v>
      </c>
      <c r="G221" s="46">
        <v>103500</v>
      </c>
      <c r="H221" s="46">
        <v>0</v>
      </c>
      <c r="I221" s="46">
        <v>0</v>
      </c>
      <c r="J221" s="46">
        <v>0</v>
      </c>
      <c r="K221" s="46">
        <v>103500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103500</v>
      </c>
      <c r="R221" s="46">
        <v>0</v>
      </c>
      <c r="S221" s="46">
        <v>0</v>
      </c>
      <c r="T221" s="46">
        <v>0</v>
      </c>
    </row>
    <row r="222" spans="1:20" ht="21.75">
      <c r="A222" s="45" t="s">
        <v>641</v>
      </c>
      <c r="B222" s="45" t="s">
        <v>642</v>
      </c>
      <c r="C222" s="46">
        <v>0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533630</v>
      </c>
      <c r="J222" s="46">
        <v>0</v>
      </c>
      <c r="K222" s="46">
        <v>533630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533630</v>
      </c>
      <c r="R222" s="46">
        <v>0</v>
      </c>
      <c r="S222" s="46">
        <v>0</v>
      </c>
      <c r="T222" s="46">
        <v>0</v>
      </c>
    </row>
    <row r="223" spans="1:20" ht="21.75">
      <c r="A223" s="45" t="s">
        <v>643</v>
      </c>
      <c r="B223" s="45" t="s">
        <v>43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47557.15</v>
      </c>
      <c r="J223" s="46">
        <v>0</v>
      </c>
      <c r="K223" s="46">
        <v>47557.15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47557.15</v>
      </c>
      <c r="R223" s="46">
        <v>0</v>
      </c>
      <c r="S223" s="46">
        <v>0</v>
      </c>
      <c r="T223" s="46">
        <v>0</v>
      </c>
    </row>
    <row r="224" spans="1:20" ht="21.75">
      <c r="A224" s="45" t="s">
        <v>312</v>
      </c>
      <c r="B224" s="45" t="s">
        <v>101</v>
      </c>
      <c r="C224" s="46">
        <v>0</v>
      </c>
      <c r="D224" s="46">
        <v>0</v>
      </c>
      <c r="E224" s="46">
        <v>1836596.47</v>
      </c>
      <c r="F224" s="46">
        <v>0</v>
      </c>
      <c r="G224" s="46">
        <v>1836596.47</v>
      </c>
      <c r="H224" s="46">
        <v>0</v>
      </c>
      <c r="I224" s="46">
        <v>2132525.98</v>
      </c>
      <c r="J224" s="46">
        <v>0</v>
      </c>
      <c r="K224" s="46">
        <v>3969122.45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3969122.45</v>
      </c>
      <c r="R224" s="46">
        <v>0</v>
      </c>
      <c r="S224" s="46">
        <v>0</v>
      </c>
      <c r="T224" s="46">
        <v>0</v>
      </c>
    </row>
    <row r="225" spans="1:20" ht="21.75">
      <c r="A225" s="45" t="s">
        <v>313</v>
      </c>
      <c r="B225" s="45" t="s">
        <v>175</v>
      </c>
      <c r="C225" s="46">
        <v>0</v>
      </c>
      <c r="D225" s="46">
        <v>0</v>
      </c>
      <c r="E225" s="46">
        <v>123932</v>
      </c>
      <c r="F225" s="46">
        <v>0</v>
      </c>
      <c r="G225" s="46">
        <v>123932</v>
      </c>
      <c r="H225" s="46">
        <v>0</v>
      </c>
      <c r="I225" s="46">
        <v>0</v>
      </c>
      <c r="J225" s="46">
        <v>0</v>
      </c>
      <c r="K225" s="46">
        <v>123932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123932</v>
      </c>
      <c r="R225" s="46">
        <v>0</v>
      </c>
      <c r="S225" s="46">
        <v>0</v>
      </c>
      <c r="T225" s="46">
        <v>0</v>
      </c>
    </row>
    <row r="226" spans="1:20" ht="21.75">
      <c r="A226" s="45" t="s">
        <v>314</v>
      </c>
      <c r="B226" s="45" t="s">
        <v>431</v>
      </c>
      <c r="C226" s="46">
        <v>0</v>
      </c>
      <c r="D226" s="46">
        <v>0</v>
      </c>
      <c r="E226" s="46">
        <v>36872.31</v>
      </c>
      <c r="F226" s="46">
        <v>1030</v>
      </c>
      <c r="G226" s="46">
        <v>35842.31</v>
      </c>
      <c r="H226" s="46">
        <v>0</v>
      </c>
      <c r="I226" s="46">
        <v>0</v>
      </c>
      <c r="J226" s="46">
        <v>0</v>
      </c>
      <c r="K226" s="46">
        <v>35842.31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35842.31</v>
      </c>
      <c r="R226" s="46">
        <v>0</v>
      </c>
      <c r="S226" s="46">
        <v>0</v>
      </c>
      <c r="T226" s="46">
        <v>0</v>
      </c>
    </row>
    <row r="227" spans="1:20" ht="21.75">
      <c r="A227" s="45" t="s">
        <v>315</v>
      </c>
      <c r="B227" s="45" t="s">
        <v>62</v>
      </c>
      <c r="C227" s="46">
        <v>0</v>
      </c>
      <c r="D227" s="46">
        <v>0</v>
      </c>
      <c r="E227" s="46">
        <v>70147</v>
      </c>
      <c r="F227" s="46">
        <v>0</v>
      </c>
      <c r="G227" s="46">
        <v>70147</v>
      </c>
      <c r="H227" s="46">
        <v>0</v>
      </c>
      <c r="I227" s="46">
        <v>0</v>
      </c>
      <c r="J227" s="46">
        <v>0</v>
      </c>
      <c r="K227" s="46">
        <v>70147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70147</v>
      </c>
      <c r="R227" s="46">
        <v>0</v>
      </c>
      <c r="S227" s="46">
        <v>0</v>
      </c>
      <c r="T227" s="46">
        <v>0</v>
      </c>
    </row>
    <row r="228" spans="1:20" ht="21.75">
      <c r="A228" s="45" t="s">
        <v>316</v>
      </c>
      <c r="B228" s="45" t="s">
        <v>317</v>
      </c>
      <c r="C228" s="46">
        <v>0</v>
      </c>
      <c r="D228" s="46">
        <v>0</v>
      </c>
      <c r="E228" s="46">
        <v>444647.32</v>
      </c>
      <c r="F228" s="46">
        <v>86570</v>
      </c>
      <c r="G228" s="46">
        <v>358077.32</v>
      </c>
      <c r="H228" s="46">
        <v>0</v>
      </c>
      <c r="I228" s="46">
        <v>0</v>
      </c>
      <c r="J228" s="46">
        <v>14400</v>
      </c>
      <c r="K228" s="46">
        <v>343677.32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343677.32</v>
      </c>
      <c r="R228" s="46">
        <v>0</v>
      </c>
      <c r="S228" s="46">
        <v>0</v>
      </c>
      <c r="T228" s="46">
        <v>0</v>
      </c>
    </row>
    <row r="229" spans="1:20" ht="21.75">
      <c r="A229" s="45" t="s">
        <v>318</v>
      </c>
      <c r="B229" s="45" t="s">
        <v>644</v>
      </c>
      <c r="C229" s="46">
        <v>0</v>
      </c>
      <c r="D229" s="46">
        <v>0</v>
      </c>
      <c r="E229" s="46">
        <v>131029.25</v>
      </c>
      <c r="F229" s="46">
        <v>2400</v>
      </c>
      <c r="G229" s="46">
        <v>128629.25</v>
      </c>
      <c r="H229" s="46">
        <v>0</v>
      </c>
      <c r="I229" s="46">
        <v>0</v>
      </c>
      <c r="J229" s="46">
        <v>0</v>
      </c>
      <c r="K229" s="46">
        <v>128629.25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128629.25</v>
      </c>
      <c r="R229" s="46">
        <v>0</v>
      </c>
      <c r="S229" s="46">
        <v>0</v>
      </c>
      <c r="T229" s="46">
        <v>0</v>
      </c>
    </row>
    <row r="230" spans="1:20" ht="21.75">
      <c r="A230" s="45" t="s">
        <v>319</v>
      </c>
      <c r="B230" s="45" t="s">
        <v>320</v>
      </c>
      <c r="C230" s="46">
        <v>0</v>
      </c>
      <c r="D230" s="46">
        <v>0</v>
      </c>
      <c r="E230" s="46">
        <v>52800</v>
      </c>
      <c r="F230" s="46">
        <v>0</v>
      </c>
      <c r="G230" s="46">
        <v>52800</v>
      </c>
      <c r="H230" s="46">
        <v>0</v>
      </c>
      <c r="I230" s="46">
        <v>0</v>
      </c>
      <c r="J230" s="46">
        <v>0</v>
      </c>
      <c r="K230" s="46">
        <v>52800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52800</v>
      </c>
      <c r="R230" s="46">
        <v>0</v>
      </c>
      <c r="S230" s="46">
        <v>0</v>
      </c>
      <c r="T230" s="46">
        <v>0</v>
      </c>
    </row>
    <row r="231" spans="1:20" ht="21.75">
      <c r="A231" s="45" t="s">
        <v>321</v>
      </c>
      <c r="B231" s="45" t="s">
        <v>174</v>
      </c>
      <c r="C231" s="46">
        <v>0</v>
      </c>
      <c r="D231" s="46">
        <v>0</v>
      </c>
      <c r="E231" s="46">
        <v>51745</v>
      </c>
      <c r="F231" s="46">
        <v>0</v>
      </c>
      <c r="G231" s="46">
        <v>51745</v>
      </c>
      <c r="H231" s="46">
        <v>0</v>
      </c>
      <c r="I231" s="46">
        <v>0</v>
      </c>
      <c r="J231" s="46">
        <v>0</v>
      </c>
      <c r="K231" s="46">
        <v>51745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51745</v>
      </c>
      <c r="R231" s="46">
        <v>0</v>
      </c>
      <c r="S231" s="46">
        <v>0</v>
      </c>
      <c r="T231" s="46">
        <v>0</v>
      </c>
    </row>
    <row r="232" spans="1:20" ht="21.75">
      <c r="A232" s="45" t="s">
        <v>322</v>
      </c>
      <c r="B232" s="45" t="s">
        <v>645</v>
      </c>
      <c r="C232" s="46">
        <v>0</v>
      </c>
      <c r="D232" s="46">
        <v>0</v>
      </c>
      <c r="E232" s="46">
        <v>228585</v>
      </c>
      <c r="F232" s="46">
        <v>14000</v>
      </c>
      <c r="G232" s="46">
        <v>214585</v>
      </c>
      <c r="H232" s="46">
        <v>0</v>
      </c>
      <c r="I232" s="46">
        <v>0</v>
      </c>
      <c r="J232" s="46">
        <v>0</v>
      </c>
      <c r="K232" s="46">
        <v>214585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214585</v>
      </c>
      <c r="R232" s="46">
        <v>0</v>
      </c>
      <c r="S232" s="46">
        <v>0</v>
      </c>
      <c r="T232" s="46">
        <v>0</v>
      </c>
    </row>
    <row r="233" spans="1:20" ht="21.75">
      <c r="A233" s="45" t="s">
        <v>646</v>
      </c>
      <c r="B233" s="45" t="s">
        <v>177</v>
      </c>
      <c r="C233" s="46">
        <v>0</v>
      </c>
      <c r="D233" s="46">
        <v>0</v>
      </c>
      <c r="E233" s="46">
        <v>38169.5</v>
      </c>
      <c r="F233" s="46">
        <v>0</v>
      </c>
      <c r="G233" s="46">
        <v>38169.5</v>
      </c>
      <c r="H233" s="46">
        <v>0</v>
      </c>
      <c r="I233" s="46">
        <v>0</v>
      </c>
      <c r="J233" s="46">
        <v>0</v>
      </c>
      <c r="K233" s="46">
        <v>38169.5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38169.5</v>
      </c>
      <c r="R233" s="46">
        <v>0</v>
      </c>
      <c r="S233" s="46">
        <v>0</v>
      </c>
      <c r="T233" s="46">
        <v>0</v>
      </c>
    </row>
    <row r="234" spans="1:20" ht="21.75">
      <c r="A234" s="45" t="s">
        <v>323</v>
      </c>
      <c r="B234" s="45" t="s">
        <v>647</v>
      </c>
      <c r="C234" s="46">
        <v>0</v>
      </c>
      <c r="D234" s="46">
        <v>0</v>
      </c>
      <c r="E234" s="46">
        <v>1484882</v>
      </c>
      <c r="F234" s="46">
        <v>8000</v>
      </c>
      <c r="G234" s="46">
        <v>1476882</v>
      </c>
      <c r="H234" s="46">
        <v>0</v>
      </c>
      <c r="I234" s="46">
        <v>0</v>
      </c>
      <c r="J234" s="46">
        <v>0</v>
      </c>
      <c r="K234" s="46">
        <v>1476882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1476882</v>
      </c>
      <c r="R234" s="46">
        <v>0</v>
      </c>
      <c r="S234" s="46">
        <v>0</v>
      </c>
      <c r="T234" s="46">
        <v>0</v>
      </c>
    </row>
    <row r="235" spans="1:20" ht="21.75">
      <c r="A235" s="45" t="s">
        <v>648</v>
      </c>
      <c r="B235" s="45" t="s">
        <v>432</v>
      </c>
      <c r="C235" s="46">
        <v>0</v>
      </c>
      <c r="D235" s="46">
        <v>0</v>
      </c>
      <c r="E235" s="46">
        <v>2151</v>
      </c>
      <c r="F235" s="46">
        <v>0</v>
      </c>
      <c r="G235" s="46">
        <v>2151</v>
      </c>
      <c r="H235" s="46">
        <v>0</v>
      </c>
      <c r="I235" s="46">
        <v>0</v>
      </c>
      <c r="J235" s="46">
        <v>0</v>
      </c>
      <c r="K235" s="46">
        <v>2151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2151</v>
      </c>
      <c r="R235" s="46">
        <v>0</v>
      </c>
      <c r="S235" s="46">
        <v>0</v>
      </c>
      <c r="T235" s="46">
        <v>0</v>
      </c>
    </row>
    <row r="236" spans="1:20" ht="21.75">
      <c r="A236" s="45" t="s">
        <v>649</v>
      </c>
      <c r="B236" s="45" t="s">
        <v>112</v>
      </c>
      <c r="C236" s="46">
        <v>0</v>
      </c>
      <c r="D236" s="46">
        <v>0</v>
      </c>
      <c r="E236" s="46">
        <v>4200</v>
      </c>
      <c r="F236" s="46">
        <v>0</v>
      </c>
      <c r="G236" s="46">
        <v>4200</v>
      </c>
      <c r="H236" s="46">
        <v>0</v>
      </c>
      <c r="I236" s="46">
        <v>0</v>
      </c>
      <c r="J236" s="46">
        <v>0</v>
      </c>
      <c r="K236" s="46">
        <v>4200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4200</v>
      </c>
      <c r="R236" s="46">
        <v>0</v>
      </c>
      <c r="S236" s="46">
        <v>0</v>
      </c>
      <c r="T236" s="46">
        <v>0</v>
      </c>
    </row>
    <row r="237" spans="1:20" ht="21.75">
      <c r="A237" s="45" t="s">
        <v>324</v>
      </c>
      <c r="B237" s="45" t="s">
        <v>650</v>
      </c>
      <c r="C237" s="46">
        <v>0</v>
      </c>
      <c r="D237" s="46">
        <v>0</v>
      </c>
      <c r="E237" s="46">
        <v>128349.15</v>
      </c>
      <c r="F237" s="46">
        <v>1190</v>
      </c>
      <c r="G237" s="46">
        <v>127159.15</v>
      </c>
      <c r="H237" s="46">
        <v>0</v>
      </c>
      <c r="I237" s="46">
        <v>0</v>
      </c>
      <c r="J237" s="46">
        <v>0</v>
      </c>
      <c r="K237" s="46">
        <v>127159.15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127159.15</v>
      </c>
      <c r="R237" s="46">
        <v>0</v>
      </c>
      <c r="S237" s="46">
        <v>0</v>
      </c>
      <c r="T237" s="46">
        <v>0</v>
      </c>
    </row>
    <row r="238" spans="1:20" ht="21.75">
      <c r="A238" s="45" t="s">
        <v>326</v>
      </c>
      <c r="B238" s="45" t="s">
        <v>327</v>
      </c>
      <c r="C238" s="46">
        <v>0</v>
      </c>
      <c r="D238" s="46">
        <v>0</v>
      </c>
      <c r="E238" s="46">
        <v>56091.71</v>
      </c>
      <c r="F238" s="46">
        <v>0</v>
      </c>
      <c r="G238" s="46">
        <v>56091.71</v>
      </c>
      <c r="H238" s="46">
        <v>0</v>
      </c>
      <c r="I238" s="46">
        <v>2233.19</v>
      </c>
      <c r="J238" s="46">
        <v>21536.76</v>
      </c>
      <c r="K238" s="46">
        <v>36788.14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36788.14</v>
      </c>
      <c r="R238" s="46">
        <v>0</v>
      </c>
      <c r="S238" s="46">
        <v>0</v>
      </c>
      <c r="T238" s="46">
        <v>0</v>
      </c>
    </row>
    <row r="239" spans="1:20" ht="21.75">
      <c r="A239" s="45" t="s">
        <v>328</v>
      </c>
      <c r="B239" s="45" t="s">
        <v>651</v>
      </c>
      <c r="C239" s="46">
        <v>0</v>
      </c>
      <c r="D239" s="46">
        <v>0</v>
      </c>
      <c r="E239" s="46">
        <v>224855</v>
      </c>
      <c r="F239" s="46">
        <v>0</v>
      </c>
      <c r="G239" s="46">
        <v>224855</v>
      </c>
      <c r="H239" s="46">
        <v>0</v>
      </c>
      <c r="I239" s="46">
        <v>0</v>
      </c>
      <c r="J239" s="46">
        <v>0</v>
      </c>
      <c r="K239" s="46">
        <v>224855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224855</v>
      </c>
      <c r="R239" s="46">
        <v>0</v>
      </c>
      <c r="S239" s="46">
        <v>0</v>
      </c>
      <c r="T239" s="46">
        <v>0</v>
      </c>
    </row>
    <row r="240" spans="1:20" ht="21.75">
      <c r="A240" s="45" t="s">
        <v>329</v>
      </c>
      <c r="B240" s="45" t="s">
        <v>113</v>
      </c>
      <c r="C240" s="46">
        <v>0</v>
      </c>
      <c r="D240" s="46">
        <v>0</v>
      </c>
      <c r="E240" s="46">
        <v>26650</v>
      </c>
      <c r="F240" s="46">
        <v>0</v>
      </c>
      <c r="G240" s="46">
        <v>26650</v>
      </c>
      <c r="H240" s="46">
        <v>0</v>
      </c>
      <c r="I240" s="46">
        <v>0</v>
      </c>
      <c r="J240" s="46">
        <v>0</v>
      </c>
      <c r="K240" s="46">
        <v>26650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26650</v>
      </c>
      <c r="R240" s="46">
        <v>0</v>
      </c>
      <c r="S240" s="46">
        <v>0</v>
      </c>
      <c r="T240" s="46">
        <v>0</v>
      </c>
    </row>
    <row r="241" spans="1:20" ht="21.75">
      <c r="A241" s="45" t="s">
        <v>330</v>
      </c>
      <c r="B241" s="45" t="s">
        <v>180</v>
      </c>
      <c r="C241" s="46">
        <v>0</v>
      </c>
      <c r="D241" s="46">
        <v>0</v>
      </c>
      <c r="E241" s="46">
        <v>12874</v>
      </c>
      <c r="F241" s="46">
        <v>0</v>
      </c>
      <c r="G241" s="46">
        <v>12874</v>
      </c>
      <c r="H241" s="46">
        <v>0</v>
      </c>
      <c r="I241" s="46">
        <v>0</v>
      </c>
      <c r="J241" s="46">
        <v>0</v>
      </c>
      <c r="K241" s="46">
        <v>12874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12874</v>
      </c>
      <c r="R241" s="46">
        <v>0</v>
      </c>
      <c r="S241" s="46">
        <v>0</v>
      </c>
      <c r="T241" s="46">
        <v>0</v>
      </c>
    </row>
    <row r="242" spans="1:20" ht="21.75">
      <c r="A242" s="45" t="s">
        <v>652</v>
      </c>
      <c r="B242" s="45" t="s">
        <v>183</v>
      </c>
      <c r="C242" s="46">
        <v>0</v>
      </c>
      <c r="D242" s="46">
        <v>0</v>
      </c>
      <c r="E242" s="46">
        <v>218067</v>
      </c>
      <c r="F242" s="46">
        <v>0</v>
      </c>
      <c r="G242" s="46">
        <v>218067</v>
      </c>
      <c r="H242" s="46">
        <v>0</v>
      </c>
      <c r="I242" s="46">
        <v>0</v>
      </c>
      <c r="J242" s="46">
        <v>0</v>
      </c>
      <c r="K242" s="46">
        <v>218067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218067</v>
      </c>
      <c r="R242" s="46">
        <v>0</v>
      </c>
      <c r="S242" s="46">
        <v>0</v>
      </c>
      <c r="T242" s="46">
        <v>0</v>
      </c>
    </row>
    <row r="243" spans="1:20" ht="21.75">
      <c r="A243" s="45" t="s">
        <v>811</v>
      </c>
      <c r="B243" s="45" t="s">
        <v>812</v>
      </c>
      <c r="C243" s="46">
        <v>0</v>
      </c>
      <c r="D243" s="46">
        <v>0</v>
      </c>
      <c r="E243" s="46">
        <v>20500</v>
      </c>
      <c r="F243" s="46">
        <v>0</v>
      </c>
      <c r="G243" s="46">
        <v>20500</v>
      </c>
      <c r="H243" s="46">
        <v>0</v>
      </c>
      <c r="I243" s="46">
        <v>0</v>
      </c>
      <c r="J243" s="46">
        <v>0</v>
      </c>
      <c r="K243" s="46">
        <v>20500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20500</v>
      </c>
      <c r="R243" s="46">
        <v>0</v>
      </c>
      <c r="S243" s="46">
        <v>0</v>
      </c>
      <c r="T243" s="46">
        <v>0</v>
      </c>
    </row>
    <row r="244" spans="1:20" ht="21.75">
      <c r="A244" s="45" t="s">
        <v>813</v>
      </c>
      <c r="B244" s="45" t="s">
        <v>814</v>
      </c>
      <c r="C244" s="46">
        <v>0</v>
      </c>
      <c r="D244" s="46">
        <v>0</v>
      </c>
      <c r="E244" s="46">
        <v>188353</v>
      </c>
      <c r="F244" s="46">
        <v>188353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</row>
    <row r="245" spans="1:20" ht="21.75">
      <c r="A245" s="45" t="s">
        <v>815</v>
      </c>
      <c r="B245" s="45" t="s">
        <v>345</v>
      </c>
      <c r="C245" s="46">
        <v>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918283</v>
      </c>
      <c r="J245" s="46">
        <v>0</v>
      </c>
      <c r="K245" s="46">
        <v>918283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918283</v>
      </c>
      <c r="R245" s="46">
        <v>0</v>
      </c>
      <c r="S245" s="46">
        <v>0</v>
      </c>
      <c r="T245" s="46">
        <v>0</v>
      </c>
    </row>
    <row r="246" spans="1:20" ht="21.75">
      <c r="A246" s="45" t="s">
        <v>816</v>
      </c>
      <c r="B246" s="45" t="s">
        <v>817</v>
      </c>
      <c r="C246" s="46">
        <v>0</v>
      </c>
      <c r="D246" s="46">
        <v>0</v>
      </c>
      <c r="E246" s="46">
        <v>146673.39</v>
      </c>
      <c r="F246" s="46">
        <v>0</v>
      </c>
      <c r="G246" s="46">
        <v>146673.39</v>
      </c>
      <c r="H246" s="46">
        <v>0</v>
      </c>
      <c r="I246" s="46">
        <v>0</v>
      </c>
      <c r="J246" s="46">
        <v>0</v>
      </c>
      <c r="K246" s="46">
        <v>146673.39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146673.39</v>
      </c>
      <c r="R246" s="46">
        <v>0</v>
      </c>
      <c r="S246" s="46">
        <v>0</v>
      </c>
      <c r="T246" s="46">
        <v>0</v>
      </c>
    </row>
    <row r="247" spans="1:20" ht="21.75">
      <c r="A247" s="45" t="s">
        <v>331</v>
      </c>
      <c r="B247" s="45" t="s">
        <v>332</v>
      </c>
      <c r="C247" s="46">
        <v>0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602666.15</v>
      </c>
      <c r="J247" s="46">
        <v>0</v>
      </c>
      <c r="K247" s="46">
        <v>602666.15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602666.15</v>
      </c>
      <c r="R247" s="46">
        <v>0</v>
      </c>
      <c r="S247" s="46">
        <v>0</v>
      </c>
      <c r="T247" s="46">
        <v>0</v>
      </c>
    </row>
    <row r="248" spans="1:20" ht="21.75">
      <c r="A248" s="45" t="s">
        <v>653</v>
      </c>
      <c r="B248" s="45" t="s">
        <v>654</v>
      </c>
      <c r="C248" s="46">
        <v>0</v>
      </c>
      <c r="D248" s="46">
        <v>0</v>
      </c>
      <c r="E248" s="46">
        <v>49300</v>
      </c>
      <c r="F248" s="46">
        <v>0</v>
      </c>
      <c r="G248" s="46">
        <v>49300</v>
      </c>
      <c r="H248" s="46">
        <v>0</v>
      </c>
      <c r="I248" s="46">
        <v>0</v>
      </c>
      <c r="J248" s="46">
        <v>0</v>
      </c>
      <c r="K248" s="46">
        <v>49300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49300</v>
      </c>
      <c r="R248" s="46">
        <v>0</v>
      </c>
      <c r="S248" s="46">
        <v>0</v>
      </c>
      <c r="T248" s="46">
        <v>0</v>
      </c>
    </row>
    <row r="249" spans="1:20" ht="21.75">
      <c r="A249" s="45" t="s">
        <v>655</v>
      </c>
      <c r="B249" s="45" t="s">
        <v>325</v>
      </c>
      <c r="C249" s="46">
        <v>0</v>
      </c>
      <c r="D249" s="46">
        <v>0</v>
      </c>
      <c r="E249" s="46">
        <v>259955</v>
      </c>
      <c r="F249" s="46">
        <v>0</v>
      </c>
      <c r="G249" s="46">
        <v>259955</v>
      </c>
      <c r="H249" s="46">
        <v>0</v>
      </c>
      <c r="I249" s="46">
        <v>0</v>
      </c>
      <c r="J249" s="46">
        <v>0</v>
      </c>
      <c r="K249" s="46">
        <v>259955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259955</v>
      </c>
      <c r="R249" s="46">
        <v>0</v>
      </c>
      <c r="S249" s="46">
        <v>0</v>
      </c>
      <c r="T249" s="46">
        <v>0</v>
      </c>
    </row>
    <row r="250" spans="1:20" ht="21.75">
      <c r="A250" s="45" t="s">
        <v>656</v>
      </c>
      <c r="B250" s="45" t="s">
        <v>657</v>
      </c>
      <c r="C250" s="46">
        <v>0</v>
      </c>
      <c r="D250" s="46">
        <v>0</v>
      </c>
      <c r="E250" s="46">
        <v>3500</v>
      </c>
      <c r="F250" s="46">
        <v>0</v>
      </c>
      <c r="G250" s="46">
        <v>3500</v>
      </c>
      <c r="H250" s="46">
        <v>0</v>
      </c>
      <c r="I250" s="46">
        <v>0</v>
      </c>
      <c r="J250" s="46">
        <v>0</v>
      </c>
      <c r="K250" s="46">
        <v>3500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3500</v>
      </c>
      <c r="R250" s="46">
        <v>0</v>
      </c>
      <c r="S250" s="46">
        <v>0</v>
      </c>
      <c r="T250" s="46">
        <v>0</v>
      </c>
    </row>
    <row r="251" spans="1:20" ht="21.75">
      <c r="A251" s="45" t="s">
        <v>333</v>
      </c>
      <c r="B251" s="45" t="s">
        <v>181</v>
      </c>
      <c r="C251" s="46">
        <v>0</v>
      </c>
      <c r="D251" s="46">
        <v>0</v>
      </c>
      <c r="E251" s="46">
        <v>6169.48</v>
      </c>
      <c r="F251" s="46">
        <v>0</v>
      </c>
      <c r="G251" s="46">
        <v>6169.48</v>
      </c>
      <c r="H251" s="46">
        <v>0</v>
      </c>
      <c r="I251" s="46">
        <v>0</v>
      </c>
      <c r="J251" s="46">
        <v>0</v>
      </c>
      <c r="K251" s="46">
        <v>6169.48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6169.48</v>
      </c>
      <c r="R251" s="46">
        <v>0</v>
      </c>
      <c r="S251" s="46">
        <v>0</v>
      </c>
      <c r="T251" s="46">
        <v>0</v>
      </c>
    </row>
    <row r="252" spans="1:20" ht="21.75">
      <c r="A252" s="45" t="s">
        <v>658</v>
      </c>
      <c r="B252" s="45" t="s">
        <v>178</v>
      </c>
      <c r="C252" s="46">
        <v>0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78129.05</v>
      </c>
      <c r="J252" s="46">
        <v>0</v>
      </c>
      <c r="K252" s="46">
        <v>78129.05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78129.05</v>
      </c>
      <c r="R252" s="46">
        <v>0</v>
      </c>
      <c r="S252" s="46">
        <v>0</v>
      </c>
      <c r="T252" s="46">
        <v>0</v>
      </c>
    </row>
    <row r="253" spans="1:20" ht="21.75">
      <c r="A253" s="45" t="s">
        <v>334</v>
      </c>
      <c r="B253" s="45" t="s">
        <v>179</v>
      </c>
      <c r="C253" s="46">
        <v>0</v>
      </c>
      <c r="D253" s="46">
        <v>0</v>
      </c>
      <c r="E253" s="46">
        <v>22486.05</v>
      </c>
      <c r="F253" s="46">
        <v>0</v>
      </c>
      <c r="G253" s="46">
        <v>22486.05</v>
      </c>
      <c r="H253" s="46">
        <v>0</v>
      </c>
      <c r="I253" s="46">
        <v>0</v>
      </c>
      <c r="J253" s="46">
        <v>0</v>
      </c>
      <c r="K253" s="46">
        <v>22486.05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22486.05</v>
      </c>
      <c r="R253" s="46">
        <v>0</v>
      </c>
      <c r="S253" s="46">
        <v>0</v>
      </c>
      <c r="T253" s="46">
        <v>0</v>
      </c>
    </row>
    <row r="254" spans="1:20" ht="21.75">
      <c r="A254" s="45" t="s">
        <v>335</v>
      </c>
      <c r="B254" s="45" t="s">
        <v>336</v>
      </c>
      <c r="C254" s="46">
        <v>0</v>
      </c>
      <c r="D254" s="46">
        <v>0</v>
      </c>
      <c r="E254" s="46">
        <v>41433.03</v>
      </c>
      <c r="F254" s="46">
        <v>0</v>
      </c>
      <c r="G254" s="46">
        <v>41433.03</v>
      </c>
      <c r="H254" s="46">
        <v>0</v>
      </c>
      <c r="I254" s="46">
        <v>0</v>
      </c>
      <c r="J254" s="46">
        <v>0</v>
      </c>
      <c r="K254" s="46">
        <v>41433.03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41433.03</v>
      </c>
      <c r="R254" s="46">
        <v>0</v>
      </c>
      <c r="S254" s="46">
        <v>0</v>
      </c>
      <c r="T254" s="46">
        <v>0</v>
      </c>
    </row>
    <row r="255" spans="1:20" ht="21.75">
      <c r="A255" s="45" t="s">
        <v>660</v>
      </c>
      <c r="B255" s="45" t="s">
        <v>661</v>
      </c>
      <c r="C255" s="46">
        <v>0</v>
      </c>
      <c r="D255" s="46">
        <v>0</v>
      </c>
      <c r="E255" s="46">
        <v>5700</v>
      </c>
      <c r="F255" s="46">
        <v>0</v>
      </c>
      <c r="G255" s="46">
        <v>5700</v>
      </c>
      <c r="H255" s="46">
        <v>0</v>
      </c>
      <c r="I255" s="46">
        <v>0</v>
      </c>
      <c r="J255" s="46">
        <v>0</v>
      </c>
      <c r="K255" s="46">
        <v>5700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5700</v>
      </c>
      <c r="R255" s="46">
        <v>0</v>
      </c>
      <c r="S255" s="46">
        <v>0</v>
      </c>
      <c r="T255" s="46">
        <v>0</v>
      </c>
    </row>
    <row r="256" spans="1:20" ht="21.75">
      <c r="A256" s="45"/>
      <c r="B256" s="45" t="s">
        <v>78</v>
      </c>
      <c r="C256" s="46">
        <v>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1783791.68</v>
      </c>
      <c r="Q256" s="46">
        <v>0</v>
      </c>
      <c r="R256" s="46">
        <v>0</v>
      </c>
      <c r="S256" s="46">
        <v>1783791.68</v>
      </c>
      <c r="T256" s="46">
        <v>0</v>
      </c>
    </row>
    <row r="257" spans="2:20" ht="21.75">
      <c r="B257" s="45" t="s">
        <v>337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743024.53</v>
      </c>
      <c r="O257" s="46">
        <v>743024.53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</row>
    <row r="258" spans="2:20" ht="21.75">
      <c r="B258" s="45" t="s">
        <v>47</v>
      </c>
      <c r="C258" s="46">
        <v>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211863376.36</v>
      </c>
      <c r="Q258" s="46">
        <v>211863376.36</v>
      </c>
      <c r="R258" s="46">
        <v>0</v>
      </c>
      <c r="S258" s="46">
        <v>0</v>
      </c>
      <c r="T258" s="46">
        <v>0</v>
      </c>
    </row>
    <row r="259" spans="2:20" ht="21.75">
      <c r="B259" s="45" t="s">
        <v>190</v>
      </c>
      <c r="C259" s="46">
        <v>0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8116328.45</v>
      </c>
      <c r="R259" s="46">
        <v>0</v>
      </c>
      <c r="S259" s="46">
        <v>0</v>
      </c>
      <c r="T259" s="46">
        <v>8116328.45</v>
      </c>
    </row>
    <row r="260" spans="2:20" ht="21.75">
      <c r="B260" s="45" t="s">
        <v>662</v>
      </c>
      <c r="C260" s="46">
        <v>407184616.75</v>
      </c>
      <c r="D260" s="46">
        <v>407184616.75</v>
      </c>
      <c r="E260" s="46">
        <v>2838666202.76</v>
      </c>
      <c r="F260" s="46">
        <v>2838666202.76</v>
      </c>
      <c r="G260" s="46">
        <v>679668814.8</v>
      </c>
      <c r="H260" s="46">
        <v>679668814.8</v>
      </c>
      <c r="I260" s="46">
        <v>23504500.97</v>
      </c>
      <c r="J260" s="46">
        <v>23504500.97</v>
      </c>
      <c r="K260" s="46">
        <v>682881459.84</v>
      </c>
      <c r="L260" s="46">
        <v>682881459.84</v>
      </c>
      <c r="M260" s="46">
        <v>743024.53</v>
      </c>
      <c r="N260" s="46">
        <v>743024.53</v>
      </c>
      <c r="O260" s="46">
        <v>213927278.8</v>
      </c>
      <c r="P260" s="46">
        <v>213927278.8</v>
      </c>
      <c r="Q260" s="46">
        <v>237145818.06</v>
      </c>
      <c r="R260" s="46">
        <v>237145818.06</v>
      </c>
      <c r="S260" s="46">
        <v>453571859.47</v>
      </c>
      <c r="T260" s="46">
        <v>453571859.47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0"/>
  <sheetViews>
    <sheetView zoomScalePageLayoutView="0" workbookViewId="0" topLeftCell="K1">
      <pane xSplit="4" ySplit="7" topLeftCell="O269" activePane="bottomRight" state="frozen"/>
      <selection pane="topLeft" activeCell="A1" sqref="A1:IV5"/>
      <selection pane="topRight" activeCell="A2" sqref="A2:T2"/>
      <selection pane="bottomLeft" activeCell="K270" sqref="K270"/>
      <selection pane="bottomRight" activeCell="F270" sqref="F270"/>
    </sheetView>
  </sheetViews>
  <sheetFormatPr defaultColWidth="9.140625" defaultRowHeight="21.75"/>
  <cols>
    <col min="1" max="1" width="8.00390625" style="1" customWidth="1"/>
    <col min="2" max="2" width="37.57421875" style="2" customWidth="1"/>
    <col min="3" max="3" width="14.00390625" style="3" customWidth="1"/>
    <col min="4" max="4" width="13.7109375" style="4" customWidth="1"/>
    <col min="5" max="5" width="15.7109375" style="3" customWidth="1"/>
    <col min="6" max="6" width="15.140625" style="3" customWidth="1"/>
    <col min="7" max="7" width="13.28125" style="3" customWidth="1"/>
    <col min="8" max="8" width="13.421875" style="3" customWidth="1"/>
    <col min="9" max="9" width="12.7109375" style="3" customWidth="1"/>
    <col min="10" max="10" width="15.00390625" style="3" customWidth="1"/>
    <col min="11" max="11" width="14.7109375" style="3" customWidth="1"/>
    <col min="12" max="12" width="13.57421875" style="3" customWidth="1"/>
    <col min="13" max="14" width="12.7109375" style="3" customWidth="1"/>
    <col min="15" max="16" width="13.421875" style="3" customWidth="1"/>
    <col min="17" max="18" width="13.7109375" style="3" customWidth="1"/>
    <col min="19" max="20" width="13.57421875" style="3" customWidth="1"/>
    <col min="21" max="16384" width="9.140625" style="5" customWidth="1"/>
  </cols>
  <sheetData>
    <row r="1" spans="1:20" ht="18.75">
      <c r="A1" s="317" t="s">
        <v>132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ht="18.75">
      <c r="A2" s="317" t="s">
        <v>191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8"/>
    </row>
    <row r="3" spans="1:20" ht="18.75">
      <c r="A3" s="319" t="s">
        <v>838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s="8" customFormat="1" ht="18.75">
      <c r="A4" s="6" t="s">
        <v>682</v>
      </c>
      <c r="B4" s="7" t="s">
        <v>192</v>
      </c>
      <c r="C4" s="321" t="s">
        <v>193</v>
      </c>
      <c r="D4" s="322"/>
      <c r="E4" s="316" t="s">
        <v>194</v>
      </c>
      <c r="F4" s="316"/>
      <c r="G4" s="316" t="s">
        <v>683</v>
      </c>
      <c r="H4" s="316"/>
      <c r="I4" s="316" t="s">
        <v>195</v>
      </c>
      <c r="J4" s="316"/>
      <c r="K4" s="316" t="s">
        <v>684</v>
      </c>
      <c r="L4" s="316"/>
      <c r="M4" s="316" t="s">
        <v>196</v>
      </c>
      <c r="N4" s="316"/>
      <c r="O4" s="316" t="s">
        <v>197</v>
      </c>
      <c r="P4" s="316"/>
      <c r="Q4" s="316" t="s">
        <v>31</v>
      </c>
      <c r="R4" s="316"/>
      <c r="S4" s="316" t="s">
        <v>6</v>
      </c>
      <c r="T4" s="316"/>
    </row>
    <row r="5" spans="1:20" s="13" customFormat="1" ht="18.75">
      <c r="A5" s="9"/>
      <c r="B5" s="10"/>
      <c r="C5" s="11" t="s">
        <v>198</v>
      </c>
      <c r="D5" s="12" t="s">
        <v>199</v>
      </c>
      <c r="E5" s="11" t="s">
        <v>198</v>
      </c>
      <c r="F5" s="11" t="s">
        <v>199</v>
      </c>
      <c r="G5" s="11" t="s">
        <v>198</v>
      </c>
      <c r="H5" s="11" t="s">
        <v>199</v>
      </c>
      <c r="I5" s="11" t="s">
        <v>198</v>
      </c>
      <c r="J5" s="11" t="s">
        <v>199</v>
      </c>
      <c r="K5" s="11" t="s">
        <v>198</v>
      </c>
      <c r="L5" s="11" t="s">
        <v>199</v>
      </c>
      <c r="M5" s="11" t="s">
        <v>198</v>
      </c>
      <c r="N5" s="11" t="s">
        <v>199</v>
      </c>
      <c r="O5" s="11" t="s">
        <v>198</v>
      </c>
      <c r="P5" s="11" t="s">
        <v>199</v>
      </c>
      <c r="Q5" s="11" t="s">
        <v>198</v>
      </c>
      <c r="R5" s="11" t="s">
        <v>199</v>
      </c>
      <c r="S5" s="11" t="s">
        <v>198</v>
      </c>
      <c r="T5" s="11" t="s">
        <v>199</v>
      </c>
    </row>
    <row r="6" spans="1:20" ht="21.75">
      <c r="A6" s="47" t="s">
        <v>200</v>
      </c>
      <c r="B6" s="47" t="s">
        <v>50</v>
      </c>
      <c r="C6" s="50">
        <v>703474</v>
      </c>
      <c r="D6" s="50">
        <v>0</v>
      </c>
      <c r="E6" s="50">
        <v>1202088989.38</v>
      </c>
      <c r="F6" s="50">
        <f>1202366189.63+4950</f>
        <v>1202371139.63</v>
      </c>
      <c r="G6" s="50">
        <f>C6+E6-F6</f>
        <v>421323.75</v>
      </c>
      <c r="H6" s="50">
        <v>0</v>
      </c>
      <c r="I6" s="50">
        <v>0</v>
      </c>
      <c r="J6" s="50">
        <v>0</v>
      </c>
      <c r="K6" s="50">
        <f>G6</f>
        <v>421323.75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2">
        <f>K6</f>
        <v>421323.75</v>
      </c>
      <c r="T6" s="50">
        <v>0</v>
      </c>
    </row>
    <row r="7" spans="1:20" ht="21.75">
      <c r="A7" s="48" t="s">
        <v>201</v>
      </c>
      <c r="B7" s="48" t="s">
        <v>445</v>
      </c>
      <c r="C7" s="51">
        <v>116693593.93</v>
      </c>
      <c r="D7" s="51">
        <v>0</v>
      </c>
      <c r="E7" s="51">
        <f>501452894.56+2720</f>
        <v>501455614.56</v>
      </c>
      <c r="F7" s="51">
        <f>545723438.59+6.8</f>
        <v>545723445.39</v>
      </c>
      <c r="G7" s="51">
        <f>C7+E7-F7</f>
        <v>72425763.10000002</v>
      </c>
      <c r="H7" s="51">
        <v>0</v>
      </c>
      <c r="I7" s="51"/>
      <c r="J7" s="51"/>
      <c r="K7" s="51">
        <f>C7+E7-F7</f>
        <v>72425763.10000002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f>K7</f>
        <v>72425763.10000002</v>
      </c>
      <c r="T7" s="51">
        <v>0</v>
      </c>
    </row>
    <row r="8" spans="1:20" ht="21.75">
      <c r="A8" s="48" t="s">
        <v>202</v>
      </c>
      <c r="B8" s="48" t="s">
        <v>446</v>
      </c>
      <c r="C8" s="51">
        <v>204330.76</v>
      </c>
      <c r="D8" s="51">
        <v>0</v>
      </c>
      <c r="E8" s="51">
        <f>486449.92+2867.67</f>
        <v>489317.58999999997</v>
      </c>
      <c r="F8" s="51">
        <v>310000</v>
      </c>
      <c r="G8" s="51">
        <f>C8+E8-F8</f>
        <v>383648.35</v>
      </c>
      <c r="H8" s="51">
        <v>0</v>
      </c>
      <c r="I8" s="51"/>
      <c r="J8" s="51">
        <v>0</v>
      </c>
      <c r="K8" s="51">
        <f>G8+I8</f>
        <v>383648.35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3">
        <f>K8</f>
        <v>383648.35</v>
      </c>
      <c r="T8" s="51">
        <v>0</v>
      </c>
    </row>
    <row r="9" spans="1:20" ht="21.75">
      <c r="A9" s="48" t="s">
        <v>447</v>
      </c>
      <c r="B9" s="48" t="s">
        <v>448</v>
      </c>
      <c r="C9" s="51">
        <v>1308.55</v>
      </c>
      <c r="D9" s="51">
        <v>0</v>
      </c>
      <c r="E9" s="51">
        <f>3.39+3.14</f>
        <v>6.53</v>
      </c>
      <c r="F9" s="51">
        <v>0</v>
      </c>
      <c r="G9" s="51">
        <f>C9+E9</f>
        <v>1315.08</v>
      </c>
      <c r="H9" s="51">
        <v>0</v>
      </c>
      <c r="I9" s="51"/>
      <c r="J9" s="51">
        <v>0</v>
      </c>
      <c r="K9" s="51">
        <v>1315.08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1315.08</v>
      </c>
      <c r="T9" s="51">
        <v>0</v>
      </c>
    </row>
    <row r="10" spans="1:20" ht="21.75">
      <c r="A10" s="48" t="s">
        <v>203</v>
      </c>
      <c r="B10" s="48" t="s">
        <v>449</v>
      </c>
      <c r="C10" s="51">
        <v>313623.9</v>
      </c>
      <c r="D10" s="51">
        <v>0</v>
      </c>
      <c r="E10" s="51">
        <v>11023014.81</v>
      </c>
      <c r="F10" s="51">
        <v>11330000</v>
      </c>
      <c r="G10" s="51">
        <f>C10+E10-F10</f>
        <v>6638.710000000894</v>
      </c>
      <c r="H10" s="51">
        <v>0</v>
      </c>
      <c r="I10" s="51">
        <v>0</v>
      </c>
      <c r="J10" s="51">
        <v>0</v>
      </c>
      <c r="K10" s="51">
        <v>6638.71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6638.71</v>
      </c>
      <c r="T10" s="51">
        <v>0</v>
      </c>
    </row>
    <row r="11" spans="1:20" ht="21.75">
      <c r="A11" s="48" t="s">
        <v>204</v>
      </c>
      <c r="B11" s="48" t="s">
        <v>450</v>
      </c>
      <c r="C11" s="51">
        <v>893.65</v>
      </c>
      <c r="D11" s="51">
        <v>0</v>
      </c>
      <c r="E11" s="51">
        <f>2.31+2.15</f>
        <v>4.46</v>
      </c>
      <c r="F11" s="51">
        <v>0</v>
      </c>
      <c r="G11" s="51">
        <f>C11+E11</f>
        <v>898.11</v>
      </c>
      <c r="H11" s="51">
        <v>0</v>
      </c>
      <c r="I11" s="51"/>
      <c r="J11" s="51">
        <v>0</v>
      </c>
      <c r="K11" s="51">
        <v>898.11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898.11</v>
      </c>
      <c r="T11" s="51">
        <v>0</v>
      </c>
    </row>
    <row r="12" spans="1:20" ht="21.75">
      <c r="A12" s="48" t="s">
        <v>451</v>
      </c>
      <c r="B12" s="48" t="s">
        <v>452</v>
      </c>
      <c r="C12" s="51">
        <v>2501000</v>
      </c>
      <c r="D12" s="51">
        <v>0</v>
      </c>
      <c r="E12" s="51">
        <v>0</v>
      </c>
      <c r="F12" s="51">
        <v>1001000</v>
      </c>
      <c r="G12" s="51">
        <f aca="true" t="shared" si="0" ref="G12:G17">C12+E12-F12</f>
        <v>1500000</v>
      </c>
      <c r="H12" s="51">
        <v>0</v>
      </c>
      <c r="I12" s="51">
        <v>0</v>
      </c>
      <c r="J12" s="51">
        <v>0</v>
      </c>
      <c r="K12" s="51">
        <v>1500000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1500000</v>
      </c>
      <c r="T12" s="51">
        <v>0</v>
      </c>
    </row>
    <row r="13" spans="1:20" ht="21.75">
      <c r="A13" s="48" t="s">
        <v>453</v>
      </c>
      <c r="B13" s="48" t="s">
        <v>454</v>
      </c>
      <c r="C13" s="51">
        <v>24768.05</v>
      </c>
      <c r="D13" s="51">
        <v>0</v>
      </c>
      <c r="E13" s="51">
        <f>5980690.64+76675.42</f>
        <v>6057366.06</v>
      </c>
      <c r="F13" s="51">
        <v>6004500</v>
      </c>
      <c r="G13" s="51">
        <f t="shared" si="0"/>
        <v>77634.1099999994</v>
      </c>
      <c r="H13" s="51">
        <v>0</v>
      </c>
      <c r="I13" s="51"/>
      <c r="J13" s="51">
        <v>0</v>
      </c>
      <c r="K13" s="51">
        <f>G13+I13</f>
        <v>77634.1099999994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f>K13</f>
        <v>77634.1099999994</v>
      </c>
      <c r="T13" s="51">
        <v>0</v>
      </c>
    </row>
    <row r="14" spans="1:20" ht="21.75">
      <c r="A14" s="48" t="s">
        <v>205</v>
      </c>
      <c r="B14" s="48" t="s">
        <v>455</v>
      </c>
      <c r="C14" s="51">
        <v>947.25</v>
      </c>
      <c r="D14" s="51">
        <v>0</v>
      </c>
      <c r="E14" s="51">
        <f>2.45+2.28</f>
        <v>4.73</v>
      </c>
      <c r="F14" s="51">
        <v>0</v>
      </c>
      <c r="G14" s="51">
        <f t="shared" si="0"/>
        <v>951.98</v>
      </c>
      <c r="H14" s="51">
        <v>0</v>
      </c>
      <c r="I14" s="51"/>
      <c r="J14" s="51">
        <v>0</v>
      </c>
      <c r="K14" s="51">
        <v>951.98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951.98</v>
      </c>
      <c r="T14" s="51">
        <v>0</v>
      </c>
    </row>
    <row r="15" spans="1:20" ht="21.75">
      <c r="A15" s="48" t="s">
        <v>456</v>
      </c>
      <c r="B15" s="48" t="s">
        <v>457</v>
      </c>
      <c r="C15" s="51">
        <v>6196.8</v>
      </c>
      <c r="D15" s="51">
        <v>0</v>
      </c>
      <c r="E15" s="51">
        <f>10502135.22+714.22</f>
        <v>10502849.440000001</v>
      </c>
      <c r="F15" s="51">
        <v>10506000</v>
      </c>
      <c r="G15" s="51">
        <f t="shared" si="0"/>
        <v>3046.240000002086</v>
      </c>
      <c r="H15" s="51">
        <v>0</v>
      </c>
      <c r="I15" s="51"/>
      <c r="J15" s="51">
        <v>0</v>
      </c>
      <c r="K15" s="51">
        <v>3046.24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3046.24</v>
      </c>
      <c r="T15" s="51">
        <v>0</v>
      </c>
    </row>
    <row r="16" spans="1:20" ht="21.75">
      <c r="A16" s="48" t="s">
        <v>458</v>
      </c>
      <c r="B16" s="48" t="s">
        <v>459</v>
      </c>
      <c r="C16" s="51">
        <v>515.06</v>
      </c>
      <c r="D16" s="51">
        <v>0</v>
      </c>
      <c r="E16" s="51">
        <f>1.33+1.24</f>
        <v>2.5700000000000003</v>
      </c>
      <c r="F16" s="51">
        <v>0</v>
      </c>
      <c r="G16" s="51">
        <f t="shared" si="0"/>
        <v>517.63</v>
      </c>
      <c r="H16" s="51">
        <v>0</v>
      </c>
      <c r="I16" s="51"/>
      <c r="J16" s="51">
        <v>0</v>
      </c>
      <c r="K16" s="51">
        <v>517.63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517.63</v>
      </c>
      <c r="T16" s="51">
        <v>0</v>
      </c>
    </row>
    <row r="17" spans="1:20" ht="21.75">
      <c r="A17" s="48" t="s">
        <v>460</v>
      </c>
      <c r="B17" s="48" t="s">
        <v>461</v>
      </c>
      <c r="C17" s="51">
        <v>520.04</v>
      </c>
      <c r="D17" s="51">
        <v>0</v>
      </c>
      <c r="E17" s="51">
        <f>1.35+1.25</f>
        <v>2.6</v>
      </c>
      <c r="F17" s="51">
        <v>0</v>
      </c>
      <c r="G17" s="51">
        <f t="shared" si="0"/>
        <v>522.64</v>
      </c>
      <c r="H17" s="51">
        <v>0</v>
      </c>
      <c r="I17" s="51"/>
      <c r="J17" s="51">
        <v>0</v>
      </c>
      <c r="K17" s="51">
        <v>522.64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522.64</v>
      </c>
      <c r="T17" s="51">
        <v>0</v>
      </c>
    </row>
    <row r="18" spans="1:20" ht="21.75">
      <c r="A18" s="48" t="s">
        <v>462</v>
      </c>
      <c r="B18" s="48" t="s">
        <v>463</v>
      </c>
      <c r="C18" s="51">
        <v>100.05</v>
      </c>
      <c r="D18" s="51">
        <v>0</v>
      </c>
      <c r="E18" s="51">
        <v>0.2</v>
      </c>
      <c r="F18" s="51">
        <v>100.25</v>
      </c>
      <c r="G18" s="51">
        <f aca="true" t="shared" si="1" ref="G18:G27">C18+E18-F18</f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</row>
    <row r="19" spans="1:20" ht="21.75">
      <c r="A19" s="48" t="s">
        <v>754</v>
      </c>
      <c r="B19" s="48" t="s">
        <v>755</v>
      </c>
      <c r="C19" s="51">
        <v>0</v>
      </c>
      <c r="D19" s="51">
        <v>0</v>
      </c>
      <c r="E19" s="51">
        <v>60165.34</v>
      </c>
      <c r="F19" s="51">
        <v>60165.34</v>
      </c>
      <c r="G19" s="51">
        <f t="shared" si="1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</row>
    <row r="20" spans="1:20" ht="21.75">
      <c r="A20" s="48" t="s">
        <v>756</v>
      </c>
      <c r="B20" s="48" t="s">
        <v>757</v>
      </c>
      <c r="C20" s="51">
        <v>0</v>
      </c>
      <c r="D20" s="51">
        <v>0</v>
      </c>
      <c r="E20" s="51">
        <v>70174.92</v>
      </c>
      <c r="F20" s="51">
        <v>70174.92</v>
      </c>
      <c r="G20" s="51">
        <f t="shared" si="1"/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</row>
    <row r="21" spans="1:20" ht="21.75">
      <c r="A21" s="48" t="s">
        <v>758</v>
      </c>
      <c r="B21" s="48" t="s">
        <v>759</v>
      </c>
      <c r="C21" s="51">
        <v>0</v>
      </c>
      <c r="D21" s="51">
        <v>0</v>
      </c>
      <c r="E21" s="51">
        <f>250+0.02</f>
        <v>250.02</v>
      </c>
      <c r="F21" s="51">
        <v>0</v>
      </c>
      <c r="G21" s="51">
        <f t="shared" si="1"/>
        <v>250.02</v>
      </c>
      <c r="H21" s="51">
        <v>0</v>
      </c>
      <c r="I21" s="51"/>
      <c r="J21" s="51">
        <v>0</v>
      </c>
      <c r="K21" s="51">
        <f>G21+I21</f>
        <v>250.02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f>K21</f>
        <v>250.02</v>
      </c>
      <c r="T21" s="51">
        <v>0</v>
      </c>
    </row>
    <row r="22" spans="1:20" ht="21.75">
      <c r="A22" s="48" t="s">
        <v>207</v>
      </c>
      <c r="B22" s="48" t="s">
        <v>208</v>
      </c>
      <c r="C22" s="51">
        <v>2058162.24</v>
      </c>
      <c r="D22" s="51">
        <v>0</v>
      </c>
      <c r="E22" s="51">
        <f>90000000+1388897.55</f>
        <v>91388897.55</v>
      </c>
      <c r="F22" s="51">
        <v>22000000</v>
      </c>
      <c r="G22" s="51">
        <f t="shared" si="1"/>
        <v>71447059.78999999</v>
      </c>
      <c r="H22" s="51">
        <v>0</v>
      </c>
      <c r="I22" s="51"/>
      <c r="J22" s="51">
        <v>0</v>
      </c>
      <c r="K22" s="51">
        <v>71447059.79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71447059.79</v>
      </c>
      <c r="T22" s="51">
        <v>0</v>
      </c>
    </row>
    <row r="23" spans="1:20" ht="21.75">
      <c r="A23" s="48" t="s">
        <v>464</v>
      </c>
      <c r="B23" s="48" t="s">
        <v>465</v>
      </c>
      <c r="C23" s="51">
        <v>2015.26</v>
      </c>
      <c r="D23" s="51">
        <v>0</v>
      </c>
      <c r="E23" s="51">
        <v>95.72</v>
      </c>
      <c r="F23" s="51">
        <v>0</v>
      </c>
      <c r="G23" s="51">
        <f t="shared" si="1"/>
        <v>2110.98</v>
      </c>
      <c r="H23" s="51">
        <v>0</v>
      </c>
      <c r="I23" s="51"/>
      <c r="J23" s="51">
        <v>0</v>
      </c>
      <c r="K23" s="51">
        <v>2110.98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2110.98</v>
      </c>
      <c r="T23" s="51">
        <v>0</v>
      </c>
    </row>
    <row r="24" spans="1:20" ht="21.75">
      <c r="A24" s="48" t="s">
        <v>466</v>
      </c>
      <c r="B24" s="48" t="s">
        <v>467</v>
      </c>
      <c r="C24" s="51">
        <v>66231.78</v>
      </c>
      <c r="D24" s="51">
        <v>0</v>
      </c>
      <c r="E24" s="51">
        <v>0</v>
      </c>
      <c r="F24" s="51">
        <v>66231.78</v>
      </c>
      <c r="G24" s="51">
        <f t="shared" si="1"/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</row>
    <row r="25" spans="1:20" s="57" customFormat="1" ht="21.75">
      <c r="A25" s="55" t="s">
        <v>206</v>
      </c>
      <c r="B25" s="55" t="s">
        <v>468</v>
      </c>
      <c r="C25" s="56">
        <v>100057.51</v>
      </c>
      <c r="D25" s="56">
        <v>0</v>
      </c>
      <c r="E25" s="56">
        <v>1400.8</v>
      </c>
      <c r="F25" s="56">
        <v>0</v>
      </c>
      <c r="G25" s="51">
        <f t="shared" si="1"/>
        <v>101458.31</v>
      </c>
      <c r="H25" s="56">
        <v>0</v>
      </c>
      <c r="I25" s="56">
        <v>0</v>
      </c>
      <c r="J25" s="56">
        <v>0</v>
      </c>
      <c r="K25" s="56">
        <v>101458.31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101458.31</v>
      </c>
      <c r="T25" s="56">
        <v>0</v>
      </c>
    </row>
    <row r="26" spans="1:20" ht="21.75">
      <c r="A26" s="54" t="s">
        <v>209</v>
      </c>
      <c r="B26" s="54" t="s">
        <v>210</v>
      </c>
      <c r="C26" s="53">
        <v>538123.27</v>
      </c>
      <c r="D26" s="53">
        <v>0</v>
      </c>
      <c r="E26" s="53">
        <v>113315031.09</v>
      </c>
      <c r="F26" s="53">
        <v>113006133.16</v>
      </c>
      <c r="G26" s="51">
        <f t="shared" si="1"/>
        <v>847021.200000003</v>
      </c>
      <c r="H26" s="53">
        <v>0</v>
      </c>
      <c r="I26" s="53">
        <v>0</v>
      </c>
      <c r="J26" s="53">
        <v>0</v>
      </c>
      <c r="K26" s="53">
        <v>847021.2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847021.2</v>
      </c>
      <c r="T26" s="53">
        <v>0</v>
      </c>
    </row>
    <row r="27" spans="1:20" ht="21.75">
      <c r="A27" s="48" t="s">
        <v>760</v>
      </c>
      <c r="B27" s="48" t="s">
        <v>761</v>
      </c>
      <c r="C27" s="51">
        <v>0</v>
      </c>
      <c r="D27" s="51">
        <v>0</v>
      </c>
      <c r="E27" s="51">
        <v>228123.35</v>
      </c>
      <c r="F27" s="51">
        <f>226740.35+1383</f>
        <v>228123.35</v>
      </c>
      <c r="G27" s="51">
        <f t="shared" si="1"/>
        <v>0</v>
      </c>
      <c r="H27" s="51">
        <v>0</v>
      </c>
      <c r="I27" s="51">
        <v>0</v>
      </c>
      <c r="J27" s="51"/>
      <c r="K27" s="51">
        <f>G27-J27</f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</row>
    <row r="28" spans="1:20" ht="21.75">
      <c r="A28" s="48" t="s">
        <v>211</v>
      </c>
      <c r="B28" s="48" t="s">
        <v>53</v>
      </c>
      <c r="C28" s="51">
        <v>255673</v>
      </c>
      <c r="D28" s="51">
        <v>0</v>
      </c>
      <c r="E28" s="51">
        <v>3799188.7</v>
      </c>
      <c r="F28" s="51">
        <v>3745986.7</v>
      </c>
      <c r="G28" s="51">
        <v>308875</v>
      </c>
      <c r="H28" s="51">
        <v>0</v>
      </c>
      <c r="I28" s="51">
        <v>0</v>
      </c>
      <c r="J28" s="51">
        <v>0</v>
      </c>
      <c r="K28" s="51">
        <v>308875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308875</v>
      </c>
      <c r="T28" s="51">
        <v>0</v>
      </c>
    </row>
    <row r="29" spans="1:20" ht="21.75">
      <c r="A29" s="48" t="s">
        <v>469</v>
      </c>
      <c r="B29" s="48" t="s">
        <v>212</v>
      </c>
      <c r="C29" s="51">
        <v>589340.25</v>
      </c>
      <c r="D29" s="51">
        <v>0</v>
      </c>
      <c r="E29" s="51">
        <v>5473243.35</v>
      </c>
      <c r="F29" s="51">
        <v>5371362.54</v>
      </c>
      <c r="G29" s="51">
        <v>691221.06</v>
      </c>
      <c r="H29" s="51">
        <v>0</v>
      </c>
      <c r="I29" s="51">
        <v>0</v>
      </c>
      <c r="J29" s="51">
        <v>0</v>
      </c>
      <c r="K29" s="51">
        <v>691221.06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691221.06</v>
      </c>
      <c r="T29" s="51">
        <v>0</v>
      </c>
    </row>
    <row r="30" spans="1:20" ht="21.75">
      <c r="A30" s="48" t="s">
        <v>470</v>
      </c>
      <c r="B30" s="48" t="s">
        <v>148</v>
      </c>
      <c r="C30" s="51">
        <v>0</v>
      </c>
      <c r="D30" s="51">
        <v>0</v>
      </c>
      <c r="E30" s="51">
        <f>6016871.75+4950</f>
        <v>6021821.75</v>
      </c>
      <c r="F30" s="51">
        <f>5941936.75+79885</f>
        <v>6021821.75</v>
      </c>
      <c r="G30" s="51">
        <f>E30-F30</f>
        <v>0</v>
      </c>
      <c r="H30" s="51">
        <v>0</v>
      </c>
      <c r="I30" s="51"/>
      <c r="J30" s="51"/>
      <c r="K30" s="51">
        <f>G30-J30</f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</row>
    <row r="31" spans="1:20" ht="21.75">
      <c r="A31" s="48" t="s">
        <v>471</v>
      </c>
      <c r="B31" s="48" t="s">
        <v>347</v>
      </c>
      <c r="C31" s="51">
        <v>0</v>
      </c>
      <c r="D31" s="51">
        <v>0</v>
      </c>
      <c r="E31" s="51">
        <v>3058045.65</v>
      </c>
      <c r="F31" s="51">
        <f>3055325.65+2720</f>
        <v>3058045.65</v>
      </c>
      <c r="G31" s="51">
        <f>E31-F31</f>
        <v>0</v>
      </c>
      <c r="H31" s="51">
        <v>0</v>
      </c>
      <c r="I31" s="51"/>
      <c r="J31" s="51"/>
      <c r="K31" s="51">
        <f>G31-J31</f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</row>
    <row r="32" spans="1:20" ht="21.75">
      <c r="A32" s="48" t="s">
        <v>213</v>
      </c>
      <c r="B32" s="48" t="s">
        <v>214</v>
      </c>
      <c r="C32" s="51">
        <v>31518898</v>
      </c>
      <c r="D32" s="51">
        <v>0</v>
      </c>
      <c r="E32" s="51">
        <v>26681000</v>
      </c>
      <c r="F32" s="51">
        <v>31880322</v>
      </c>
      <c r="G32" s="51">
        <f>C32+E32-F32</f>
        <v>26319576</v>
      </c>
      <c r="H32" s="51">
        <v>0</v>
      </c>
      <c r="I32" s="51">
        <v>0</v>
      </c>
      <c r="J32" s="51">
        <v>0</v>
      </c>
      <c r="K32" s="51">
        <v>26319576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26319576</v>
      </c>
      <c r="T32" s="51">
        <v>0</v>
      </c>
    </row>
    <row r="33" spans="1:20" ht="21.75">
      <c r="A33" s="48" t="s">
        <v>674</v>
      </c>
      <c r="B33" s="48" t="s">
        <v>675</v>
      </c>
      <c r="C33" s="51">
        <v>0</v>
      </c>
      <c r="D33" s="51">
        <v>1047407.8</v>
      </c>
      <c r="E33" s="51">
        <v>93073.85</v>
      </c>
      <c r="F33" s="51"/>
      <c r="G33" s="51"/>
      <c r="H33" s="51">
        <f>D33-E33</f>
        <v>954333.9500000001</v>
      </c>
      <c r="I33" s="51"/>
      <c r="J33" s="51">
        <f>0</f>
        <v>0</v>
      </c>
      <c r="K33" s="51">
        <v>0</v>
      </c>
      <c r="L33" s="51">
        <f>H33-I33</f>
        <v>954333.9500000001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954333.95</v>
      </c>
    </row>
    <row r="34" spans="1:20" ht="21.75">
      <c r="A34" s="48" t="s">
        <v>215</v>
      </c>
      <c r="B34" s="48" t="s">
        <v>216</v>
      </c>
      <c r="C34" s="51">
        <v>25429219</v>
      </c>
      <c r="D34" s="51">
        <v>0</v>
      </c>
      <c r="E34" s="51">
        <v>29700800</v>
      </c>
      <c r="F34" s="51">
        <v>26638087</v>
      </c>
      <c r="G34" s="51">
        <v>28491932</v>
      </c>
      <c r="H34" s="51"/>
      <c r="I34" s="51">
        <v>0</v>
      </c>
      <c r="J34" s="51">
        <v>0</v>
      </c>
      <c r="K34" s="51">
        <v>28491932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28491932</v>
      </c>
      <c r="T34" s="51">
        <v>0</v>
      </c>
    </row>
    <row r="35" spans="1:20" ht="21.75">
      <c r="A35" s="48" t="s">
        <v>217</v>
      </c>
      <c r="B35" s="48" t="s">
        <v>218</v>
      </c>
      <c r="C35" s="51">
        <v>43318918</v>
      </c>
      <c r="D35" s="51">
        <v>0</v>
      </c>
      <c r="E35" s="51">
        <v>18543000</v>
      </c>
      <c r="F35" s="51">
        <v>20482583</v>
      </c>
      <c r="G35" s="51">
        <v>41379335</v>
      </c>
      <c r="H35" s="51"/>
      <c r="I35" s="51">
        <v>0</v>
      </c>
      <c r="J35" s="51">
        <v>0</v>
      </c>
      <c r="K35" s="51">
        <v>41379335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41379335</v>
      </c>
      <c r="T35" s="51">
        <v>0</v>
      </c>
    </row>
    <row r="36" spans="1:20" ht="21.75">
      <c r="A36" s="48" t="s">
        <v>472</v>
      </c>
      <c r="B36" s="48" t="s">
        <v>219</v>
      </c>
      <c r="C36" s="51">
        <v>0</v>
      </c>
      <c r="D36" s="51">
        <v>0</v>
      </c>
      <c r="E36" s="51">
        <v>0</v>
      </c>
      <c r="F36" s="51">
        <v>918283</v>
      </c>
      <c r="G36" s="51"/>
      <c r="H36" s="51">
        <f>F36</f>
        <v>918283</v>
      </c>
      <c r="I36" s="51"/>
      <c r="J36" s="51"/>
      <c r="K36" s="51">
        <f>I36</f>
        <v>0</v>
      </c>
      <c r="L36" s="51">
        <v>918283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918283</v>
      </c>
    </row>
    <row r="37" spans="1:20" ht="21.75">
      <c r="A37" s="48" t="s">
        <v>220</v>
      </c>
      <c r="B37" s="48" t="s">
        <v>221</v>
      </c>
      <c r="C37" s="51">
        <v>27533239</v>
      </c>
      <c r="D37" s="51">
        <v>0</v>
      </c>
      <c r="E37" s="51">
        <v>9360000</v>
      </c>
      <c r="F37" s="51">
        <v>11825128</v>
      </c>
      <c r="G37" s="51">
        <v>25068111</v>
      </c>
      <c r="H37" s="51">
        <v>0</v>
      </c>
      <c r="I37" s="51">
        <v>0</v>
      </c>
      <c r="J37" s="51">
        <v>0</v>
      </c>
      <c r="K37" s="51">
        <v>25068111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25068111</v>
      </c>
      <c r="T37" s="51">
        <v>0</v>
      </c>
    </row>
    <row r="38" spans="1:20" ht="21.75">
      <c r="A38" s="48" t="s">
        <v>473</v>
      </c>
      <c r="B38" s="48" t="s">
        <v>222</v>
      </c>
      <c r="C38" s="51">
        <v>69000021</v>
      </c>
      <c r="D38" s="51">
        <v>0</v>
      </c>
      <c r="E38" s="51">
        <v>31909000</v>
      </c>
      <c r="F38" s="51">
        <v>17027499</v>
      </c>
      <c r="G38" s="51">
        <v>83881522</v>
      </c>
      <c r="H38" s="51">
        <v>0</v>
      </c>
      <c r="I38" s="51">
        <v>0</v>
      </c>
      <c r="J38" s="51">
        <v>0</v>
      </c>
      <c r="K38" s="51">
        <v>83881522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83881522</v>
      </c>
      <c r="T38" s="51">
        <v>0</v>
      </c>
    </row>
    <row r="39" spans="1:20" ht="21.75">
      <c r="A39" s="48" t="s">
        <v>474</v>
      </c>
      <c r="B39" s="48" t="s">
        <v>223</v>
      </c>
      <c r="C39" s="51">
        <v>1048500</v>
      </c>
      <c r="D39" s="51">
        <v>0</v>
      </c>
      <c r="E39" s="51">
        <v>0</v>
      </c>
      <c r="F39" s="51">
        <v>0</v>
      </c>
      <c r="G39" s="51">
        <v>1048500</v>
      </c>
      <c r="H39" s="51">
        <v>0</v>
      </c>
      <c r="I39" s="51">
        <v>0</v>
      </c>
      <c r="J39" s="51">
        <v>0</v>
      </c>
      <c r="K39" s="51">
        <v>1048500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1048500</v>
      </c>
      <c r="T39" s="51">
        <v>0</v>
      </c>
    </row>
    <row r="40" spans="1:20" ht="21.75">
      <c r="A40" s="48" t="s">
        <v>475</v>
      </c>
      <c r="B40" s="48" t="s">
        <v>224</v>
      </c>
      <c r="C40" s="51">
        <v>53366992</v>
      </c>
      <c r="D40" s="51">
        <v>0</v>
      </c>
      <c r="E40" s="51">
        <v>22188000</v>
      </c>
      <c r="F40" s="51">
        <v>12926196</v>
      </c>
      <c r="G40" s="51">
        <v>62628796</v>
      </c>
      <c r="H40" s="51">
        <v>0</v>
      </c>
      <c r="I40" s="51">
        <v>0</v>
      </c>
      <c r="J40" s="51">
        <v>0</v>
      </c>
      <c r="K40" s="51">
        <v>62628796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62628796</v>
      </c>
      <c r="T40" s="51">
        <v>0</v>
      </c>
    </row>
    <row r="41" spans="1:20" ht="21.75">
      <c r="A41" s="48" t="s">
        <v>225</v>
      </c>
      <c r="B41" s="48" t="s">
        <v>226</v>
      </c>
      <c r="C41" s="51">
        <v>50000</v>
      </c>
      <c r="D41" s="51">
        <v>0</v>
      </c>
      <c r="E41" s="51">
        <v>205000</v>
      </c>
      <c r="F41" s="51">
        <v>205000</v>
      </c>
      <c r="G41" s="51">
        <v>50000</v>
      </c>
      <c r="H41" s="51">
        <v>0</v>
      </c>
      <c r="I41" s="51">
        <v>0</v>
      </c>
      <c r="J41" s="51">
        <v>0</v>
      </c>
      <c r="K41" s="51">
        <v>50000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50000</v>
      </c>
      <c r="T41" s="51">
        <v>0</v>
      </c>
    </row>
    <row r="42" spans="1:20" ht="21.75">
      <c r="A42" s="48" t="s">
        <v>476</v>
      </c>
      <c r="B42" s="48" t="s">
        <v>227</v>
      </c>
      <c r="C42" s="51">
        <v>57817.11</v>
      </c>
      <c r="D42" s="51">
        <v>0</v>
      </c>
      <c r="E42" s="51">
        <v>1125838.19</v>
      </c>
      <c r="F42" s="51">
        <v>1132481.06</v>
      </c>
      <c r="G42" s="51">
        <v>51174.24</v>
      </c>
      <c r="H42" s="51">
        <v>0</v>
      </c>
      <c r="I42" s="51">
        <v>0</v>
      </c>
      <c r="J42" s="51">
        <v>0</v>
      </c>
      <c r="K42" s="51">
        <v>51174.24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51174.24</v>
      </c>
      <c r="T42" s="51">
        <v>0</v>
      </c>
    </row>
    <row r="43" spans="1:20" ht="21.75">
      <c r="A43" s="48" t="s">
        <v>477</v>
      </c>
      <c r="B43" s="48" t="s">
        <v>228</v>
      </c>
      <c r="C43" s="51">
        <v>0</v>
      </c>
      <c r="D43" s="51">
        <v>0</v>
      </c>
      <c r="E43" s="51">
        <v>918283</v>
      </c>
      <c r="F43" s="51">
        <v>0</v>
      </c>
      <c r="G43" s="51">
        <f>E43</f>
        <v>918283</v>
      </c>
      <c r="H43" s="51">
        <v>0</v>
      </c>
      <c r="I43" s="51"/>
      <c r="J43" s="51">
        <v>0</v>
      </c>
      <c r="K43" s="51">
        <v>918283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918283</v>
      </c>
      <c r="T43" s="51">
        <v>0</v>
      </c>
    </row>
    <row r="44" spans="1:20" ht="21.75">
      <c r="A44" s="48" t="s">
        <v>478</v>
      </c>
      <c r="B44" s="48" t="s">
        <v>479</v>
      </c>
      <c r="C44" s="51">
        <v>10000</v>
      </c>
      <c r="D44" s="51">
        <v>0</v>
      </c>
      <c r="E44" s="51">
        <v>0</v>
      </c>
      <c r="F44" s="51">
        <v>0</v>
      </c>
      <c r="G44" s="51">
        <v>10000</v>
      </c>
      <c r="H44" s="51">
        <v>0</v>
      </c>
      <c r="I44" s="51">
        <v>0</v>
      </c>
      <c r="J44" s="51">
        <v>0</v>
      </c>
      <c r="K44" s="51">
        <v>10000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10000</v>
      </c>
      <c r="T44" s="51">
        <v>0</v>
      </c>
    </row>
    <row r="45" spans="1:20" ht="21.75">
      <c r="A45" s="48" t="s">
        <v>762</v>
      </c>
      <c r="B45" s="48" t="s">
        <v>763</v>
      </c>
      <c r="C45" s="51">
        <v>0</v>
      </c>
      <c r="D45" s="51">
        <v>0</v>
      </c>
      <c r="E45" s="51">
        <v>480</v>
      </c>
      <c r="F45" s="51">
        <v>480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</row>
    <row r="46" spans="1:20" ht="21.75">
      <c r="A46" s="48" t="s">
        <v>229</v>
      </c>
      <c r="B46" s="48" t="s">
        <v>56</v>
      </c>
      <c r="C46" s="51">
        <v>8863358.94</v>
      </c>
      <c r="D46" s="51">
        <v>0</v>
      </c>
      <c r="E46" s="51">
        <v>3955246.05</v>
      </c>
      <c r="F46" s="51">
        <v>2929866.58</v>
      </c>
      <c r="G46" s="51">
        <f>C46+E46-F46</f>
        <v>9888738.409999998</v>
      </c>
      <c r="H46" s="51">
        <v>0</v>
      </c>
      <c r="I46" s="51"/>
      <c r="J46" s="51">
        <v>0</v>
      </c>
      <c r="K46" s="51">
        <v>9888738.41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9888738.41</v>
      </c>
      <c r="T46" s="51">
        <v>0</v>
      </c>
    </row>
    <row r="47" spans="1:20" ht="21.75">
      <c r="A47" s="48" t="s">
        <v>230</v>
      </c>
      <c r="B47" s="48" t="s">
        <v>480</v>
      </c>
      <c r="C47" s="51">
        <v>0</v>
      </c>
      <c r="D47" s="51">
        <v>603049.56</v>
      </c>
      <c r="E47" s="51">
        <v>0</v>
      </c>
      <c r="F47" s="51">
        <v>62490.02</v>
      </c>
      <c r="G47" s="51">
        <v>0</v>
      </c>
      <c r="H47" s="51">
        <f>D47+F47</f>
        <v>665539.5800000001</v>
      </c>
      <c r="I47" s="51">
        <v>0</v>
      </c>
      <c r="J47" s="51"/>
      <c r="K47" s="51">
        <v>0</v>
      </c>
      <c r="L47" s="51">
        <v>665539.58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665539.58</v>
      </c>
    </row>
    <row r="48" spans="1:20" s="57" customFormat="1" ht="21.75">
      <c r="A48" s="55" t="s">
        <v>481</v>
      </c>
      <c r="B48" s="55" t="s">
        <v>360</v>
      </c>
      <c r="C48" s="56">
        <v>735595.95</v>
      </c>
      <c r="D48" s="56">
        <v>0</v>
      </c>
      <c r="E48" s="56">
        <v>0</v>
      </c>
      <c r="F48" s="56">
        <v>735595.95</v>
      </c>
      <c r="G48" s="56">
        <f>C48-F48</f>
        <v>0</v>
      </c>
      <c r="H48" s="56">
        <v>0</v>
      </c>
      <c r="I48" s="56">
        <v>0</v>
      </c>
      <c r="J48" s="56"/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</row>
    <row r="49" spans="1:20" ht="21.75">
      <c r="A49" s="54" t="s">
        <v>482</v>
      </c>
      <c r="B49" s="54" t="s">
        <v>483</v>
      </c>
      <c r="C49" s="53">
        <v>575313.75</v>
      </c>
      <c r="D49" s="53">
        <v>0</v>
      </c>
      <c r="E49" s="53">
        <v>735595.95</v>
      </c>
      <c r="F49" s="53">
        <v>0</v>
      </c>
      <c r="G49" s="53">
        <f>C49+E49</f>
        <v>1310909.7</v>
      </c>
      <c r="H49" s="53">
        <v>0</v>
      </c>
      <c r="I49" s="53"/>
      <c r="J49" s="53">
        <v>0</v>
      </c>
      <c r="K49" s="53">
        <v>1310909.7</v>
      </c>
      <c r="L49" s="53">
        <v>0</v>
      </c>
      <c r="M49" s="53">
        <v>11591.39</v>
      </c>
      <c r="N49" s="53">
        <v>0</v>
      </c>
      <c r="O49" s="53">
        <v>1299318.31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</row>
    <row r="50" spans="1:20" ht="21.75">
      <c r="A50" s="48" t="s">
        <v>231</v>
      </c>
      <c r="B50" s="48" t="s">
        <v>5</v>
      </c>
      <c r="C50" s="51">
        <v>75065.17</v>
      </c>
      <c r="D50" s="51">
        <v>0</v>
      </c>
      <c r="E50" s="51">
        <v>98497</v>
      </c>
      <c r="F50" s="51">
        <f>2700+47557.15</f>
        <v>50257.15</v>
      </c>
      <c r="G50" s="51">
        <f>C50+E50-F50</f>
        <v>123305.01999999999</v>
      </c>
      <c r="H50" s="51">
        <v>0</v>
      </c>
      <c r="I50" s="51">
        <v>0</v>
      </c>
      <c r="J50" s="51"/>
      <c r="K50" s="51">
        <v>123305.02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123305.02</v>
      </c>
      <c r="T50" s="51">
        <v>0</v>
      </c>
    </row>
    <row r="51" spans="1:20" ht="21.75">
      <c r="A51" s="48" t="s">
        <v>484</v>
      </c>
      <c r="B51" s="48" t="s">
        <v>485</v>
      </c>
      <c r="C51" s="51">
        <v>6107.89</v>
      </c>
      <c r="D51" s="51">
        <v>0</v>
      </c>
      <c r="E51" s="51">
        <v>64461.19</v>
      </c>
      <c r="F51" s="51">
        <v>58632.76</v>
      </c>
      <c r="G51" s="51">
        <f>C51+E51-F51</f>
        <v>11936.32</v>
      </c>
      <c r="H51" s="51">
        <v>0</v>
      </c>
      <c r="I51" s="51"/>
      <c r="J51" s="51"/>
      <c r="K51" s="51">
        <f>G51-J51</f>
        <v>11936.32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f>K51</f>
        <v>11936.32</v>
      </c>
      <c r="T51" s="51">
        <v>0</v>
      </c>
    </row>
    <row r="52" spans="1:20" ht="21.75">
      <c r="A52" s="48" t="s">
        <v>232</v>
      </c>
      <c r="B52" s="48" t="s">
        <v>140</v>
      </c>
      <c r="C52" s="51">
        <v>0</v>
      </c>
      <c r="D52" s="51">
        <v>33572.18</v>
      </c>
      <c r="E52" s="51">
        <v>135497.03</v>
      </c>
      <c r="F52" s="51">
        <v>117389.86</v>
      </c>
      <c r="G52" s="51">
        <v>0</v>
      </c>
      <c r="H52" s="51">
        <v>15465.01</v>
      </c>
      <c r="I52" s="51">
        <v>0</v>
      </c>
      <c r="J52" s="51">
        <v>0</v>
      </c>
      <c r="K52" s="51">
        <v>0</v>
      </c>
      <c r="L52" s="51">
        <v>15465.01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15465.01</v>
      </c>
    </row>
    <row r="53" spans="1:20" ht="21.75">
      <c r="A53" s="48" t="s">
        <v>486</v>
      </c>
      <c r="B53" s="48" t="s">
        <v>487</v>
      </c>
      <c r="C53" s="51">
        <v>0</v>
      </c>
      <c r="D53" s="51">
        <v>66408.64</v>
      </c>
      <c r="E53" s="51">
        <v>304175.37</v>
      </c>
      <c r="F53" s="51">
        <v>293791.32</v>
      </c>
      <c r="G53" s="51">
        <v>0</v>
      </c>
      <c r="H53" s="51">
        <v>56024.59</v>
      </c>
      <c r="I53" s="51">
        <v>0</v>
      </c>
      <c r="J53" s="51">
        <v>0</v>
      </c>
      <c r="K53" s="51">
        <v>0</v>
      </c>
      <c r="L53" s="51">
        <v>56024.59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56024.59</v>
      </c>
    </row>
    <row r="54" spans="1:20" ht="21.75">
      <c r="A54" s="48" t="s">
        <v>488</v>
      </c>
      <c r="B54" s="48" t="s">
        <v>489</v>
      </c>
      <c r="C54" s="51">
        <v>0</v>
      </c>
      <c r="D54" s="51">
        <v>2836.64</v>
      </c>
      <c r="E54" s="51">
        <v>19165.45</v>
      </c>
      <c r="F54" s="51">
        <v>17706.82</v>
      </c>
      <c r="G54" s="51">
        <v>0</v>
      </c>
      <c r="H54" s="51">
        <v>1378.01</v>
      </c>
      <c r="I54" s="51">
        <v>0</v>
      </c>
      <c r="J54" s="51">
        <v>0</v>
      </c>
      <c r="K54" s="51">
        <v>0</v>
      </c>
      <c r="L54" s="51">
        <v>1378.01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1378.01</v>
      </c>
    </row>
    <row r="55" spans="1:20" ht="21.75">
      <c r="A55" s="48" t="s">
        <v>233</v>
      </c>
      <c r="B55" s="48" t="s">
        <v>63</v>
      </c>
      <c r="C55" s="51">
        <v>700724</v>
      </c>
      <c r="D55" s="51">
        <v>0</v>
      </c>
      <c r="E55" s="51">
        <v>307886.18</v>
      </c>
      <c r="F55" s="51">
        <v>511727.27</v>
      </c>
      <c r="G55" s="51">
        <f>C55+E55-F55</f>
        <v>496882.9099999999</v>
      </c>
      <c r="H55" s="51">
        <v>0</v>
      </c>
      <c r="I55" s="51"/>
      <c r="J55" s="51">
        <v>0</v>
      </c>
      <c r="K55" s="51">
        <v>496882.91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496882.91</v>
      </c>
      <c r="T55" s="51">
        <v>0</v>
      </c>
    </row>
    <row r="56" spans="1:20" ht="21.75">
      <c r="A56" s="48" t="s">
        <v>234</v>
      </c>
      <c r="B56" s="48" t="s">
        <v>490</v>
      </c>
      <c r="C56" s="51">
        <v>0</v>
      </c>
      <c r="D56" s="51">
        <v>700724</v>
      </c>
      <c r="E56" s="51">
        <v>203841.09</v>
      </c>
      <c r="F56" s="51">
        <v>0</v>
      </c>
      <c r="G56" s="51">
        <v>0</v>
      </c>
      <c r="H56" s="51">
        <f>D56-E56</f>
        <v>496882.91000000003</v>
      </c>
      <c r="I56" s="51"/>
      <c r="J56" s="51">
        <v>0</v>
      </c>
      <c r="K56" s="51">
        <v>0</v>
      </c>
      <c r="L56" s="51">
        <v>496882.91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496882.91</v>
      </c>
    </row>
    <row r="57" spans="1:20" ht="21.75">
      <c r="A57" s="48" t="s">
        <v>235</v>
      </c>
      <c r="B57" s="48" t="s">
        <v>126</v>
      </c>
      <c r="C57" s="51">
        <v>0</v>
      </c>
      <c r="D57" s="51">
        <v>0</v>
      </c>
      <c r="E57" s="51">
        <f>675413.3+61323.69</f>
        <v>736736.99</v>
      </c>
      <c r="F57" s="51">
        <v>0</v>
      </c>
      <c r="G57" s="51">
        <f>E57</f>
        <v>736736.99</v>
      </c>
      <c r="H57" s="51">
        <v>0</v>
      </c>
      <c r="I57" s="51"/>
      <c r="J57" s="51">
        <v>0</v>
      </c>
      <c r="K57" s="51">
        <v>736736.99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736736.99</v>
      </c>
      <c r="T57" s="51">
        <v>0</v>
      </c>
    </row>
    <row r="58" spans="1:20" ht="21.75">
      <c r="A58" s="48" t="s">
        <v>764</v>
      </c>
      <c r="B58" s="48" t="s">
        <v>765</v>
      </c>
      <c r="C58" s="51">
        <v>0</v>
      </c>
      <c r="D58" s="51">
        <v>0</v>
      </c>
      <c r="E58" s="51">
        <v>0</v>
      </c>
      <c r="F58" s="51">
        <v>736736.99</v>
      </c>
      <c r="G58" s="51">
        <v>0</v>
      </c>
      <c r="H58" s="51">
        <f>F58</f>
        <v>736736.99</v>
      </c>
      <c r="I58" s="51">
        <v>0</v>
      </c>
      <c r="J58" s="51"/>
      <c r="K58" s="51">
        <v>0</v>
      </c>
      <c r="L58" s="51">
        <f>F58</f>
        <v>736736.99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>L58</f>
        <v>736736.99</v>
      </c>
    </row>
    <row r="59" spans="1:20" ht="21.75">
      <c r="A59" s="48" t="s">
        <v>236</v>
      </c>
      <c r="B59" s="48" t="s">
        <v>237</v>
      </c>
      <c r="C59" s="51">
        <v>0</v>
      </c>
      <c r="D59" s="51">
        <v>0</v>
      </c>
      <c r="E59" s="51">
        <v>1191131.56</v>
      </c>
      <c r="F59" s="51">
        <v>1191131.56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</row>
    <row r="60" spans="1:20" ht="21.75">
      <c r="A60" s="48" t="s">
        <v>491</v>
      </c>
      <c r="B60" s="48" t="s">
        <v>492</v>
      </c>
      <c r="C60" s="51">
        <v>0</v>
      </c>
      <c r="D60" s="51">
        <v>0</v>
      </c>
      <c r="E60" s="51">
        <v>7510048.67</v>
      </c>
      <c r="F60" s="51">
        <v>7510048.67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</row>
    <row r="61" spans="1:20" ht="21.75">
      <c r="A61" s="48" t="s">
        <v>766</v>
      </c>
      <c r="B61" s="48" t="s">
        <v>767</v>
      </c>
      <c r="C61" s="51">
        <v>0</v>
      </c>
      <c r="D61" s="51">
        <v>0</v>
      </c>
      <c r="E61" s="51">
        <v>4298</v>
      </c>
      <c r="F61" s="51">
        <v>4298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</row>
    <row r="62" spans="1:20" ht="21.75">
      <c r="A62" s="48" t="s">
        <v>493</v>
      </c>
      <c r="B62" s="48" t="s">
        <v>348</v>
      </c>
      <c r="C62" s="51">
        <v>0</v>
      </c>
      <c r="D62" s="51">
        <v>0</v>
      </c>
      <c r="E62" s="51">
        <v>8126.76</v>
      </c>
      <c r="F62" s="51">
        <v>8126.76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</row>
    <row r="63" spans="1:20" ht="21.75">
      <c r="A63" s="48" t="s">
        <v>494</v>
      </c>
      <c r="B63" s="48" t="s">
        <v>349</v>
      </c>
      <c r="C63" s="51">
        <v>0</v>
      </c>
      <c r="D63" s="51">
        <v>0</v>
      </c>
      <c r="E63" s="51">
        <v>8518.61</v>
      </c>
      <c r="F63" s="51">
        <v>8518.61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</row>
    <row r="64" spans="1:20" ht="21.75">
      <c r="A64" s="48" t="s">
        <v>495</v>
      </c>
      <c r="B64" s="48" t="s">
        <v>410</v>
      </c>
      <c r="C64" s="51">
        <v>0</v>
      </c>
      <c r="D64" s="51">
        <v>0</v>
      </c>
      <c r="E64" s="51">
        <v>17.01</v>
      </c>
      <c r="F64" s="51">
        <v>17.01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</row>
    <row r="65" spans="1:20" ht="21.75">
      <c r="A65" s="48" t="s">
        <v>496</v>
      </c>
      <c r="B65" s="48" t="s">
        <v>497</v>
      </c>
      <c r="C65" s="51">
        <v>0</v>
      </c>
      <c r="D65" s="51">
        <v>0</v>
      </c>
      <c r="E65" s="51">
        <v>4227.11</v>
      </c>
      <c r="F65" s="51">
        <v>4227.11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</row>
    <row r="66" spans="1:20" ht="21.75">
      <c r="A66" s="48" t="s">
        <v>768</v>
      </c>
      <c r="B66" s="48" t="s">
        <v>769</v>
      </c>
      <c r="C66" s="51">
        <v>0</v>
      </c>
      <c r="D66" s="51">
        <v>0</v>
      </c>
      <c r="E66" s="51">
        <v>16535.97</v>
      </c>
      <c r="F66" s="51">
        <v>16535.97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</row>
    <row r="67" spans="1:20" ht="21.75">
      <c r="A67" s="48" t="s">
        <v>238</v>
      </c>
      <c r="B67" s="48" t="s">
        <v>239</v>
      </c>
      <c r="C67" s="51">
        <v>25713.41</v>
      </c>
      <c r="D67" s="51">
        <v>0</v>
      </c>
      <c r="E67" s="51">
        <v>0</v>
      </c>
      <c r="F67" s="51">
        <v>2233.19</v>
      </c>
      <c r="G67" s="51">
        <f>C67-F67</f>
        <v>23480.22</v>
      </c>
      <c r="H67" s="51">
        <v>0</v>
      </c>
      <c r="I67" s="51">
        <v>0</v>
      </c>
      <c r="J67" s="51"/>
      <c r="K67" s="51">
        <v>23480.22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23480.22</v>
      </c>
      <c r="T67" s="51">
        <v>0</v>
      </c>
    </row>
    <row r="68" spans="1:20" ht="21.75">
      <c r="A68" s="48" t="s">
        <v>770</v>
      </c>
      <c r="B68" s="48" t="s">
        <v>771</v>
      </c>
      <c r="C68" s="51">
        <v>0</v>
      </c>
      <c r="D68" s="51">
        <v>0</v>
      </c>
      <c r="E68" s="51">
        <v>169715</v>
      </c>
      <c r="F68" s="51">
        <v>169715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</row>
    <row r="69" spans="1:20" ht="21.75">
      <c r="A69" s="48" t="s">
        <v>772</v>
      </c>
      <c r="B69" s="48" t="s">
        <v>773</v>
      </c>
      <c r="C69" s="51">
        <v>0</v>
      </c>
      <c r="D69" s="51">
        <v>0</v>
      </c>
      <c r="E69" s="51">
        <v>336</v>
      </c>
      <c r="F69" s="51">
        <v>336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</row>
    <row r="70" spans="1:20" ht="21.75">
      <c r="A70" s="48" t="s">
        <v>774</v>
      </c>
      <c r="B70" s="48" t="s">
        <v>775</v>
      </c>
      <c r="C70" s="51">
        <v>0</v>
      </c>
      <c r="D70" s="51">
        <v>0</v>
      </c>
      <c r="E70" s="51">
        <v>33670</v>
      </c>
      <c r="F70" s="51">
        <v>33670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</row>
    <row r="71" spans="1:20" s="57" customFormat="1" ht="21.75">
      <c r="A71" s="55" t="s">
        <v>498</v>
      </c>
      <c r="B71" s="55" t="s">
        <v>776</v>
      </c>
      <c r="C71" s="56">
        <v>480.3</v>
      </c>
      <c r="D71" s="56">
        <v>0</v>
      </c>
      <c r="E71" s="56">
        <v>0</v>
      </c>
      <c r="F71" s="56">
        <v>480.3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</row>
    <row r="72" spans="1:20" ht="21.75">
      <c r="A72" s="54" t="s">
        <v>777</v>
      </c>
      <c r="B72" s="54" t="s">
        <v>685</v>
      </c>
      <c r="C72" s="53">
        <v>0</v>
      </c>
      <c r="D72" s="53">
        <v>7073.66</v>
      </c>
      <c r="E72" s="53">
        <v>0</v>
      </c>
      <c r="F72" s="53">
        <v>130738.85</v>
      </c>
      <c r="G72" s="53">
        <v>0</v>
      </c>
      <c r="H72" s="53">
        <f>D72+F72</f>
        <v>137812.51</v>
      </c>
      <c r="I72" s="53">
        <v>0</v>
      </c>
      <c r="J72" s="53"/>
      <c r="K72" s="53">
        <v>0</v>
      </c>
      <c r="L72" s="53">
        <v>137812.51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137812.51</v>
      </c>
    </row>
    <row r="73" spans="1:20" ht="21.75">
      <c r="A73" s="48" t="s">
        <v>499</v>
      </c>
      <c r="B73" s="48" t="s">
        <v>3</v>
      </c>
      <c r="C73" s="51">
        <v>8202755</v>
      </c>
      <c r="D73" s="51">
        <v>0</v>
      </c>
      <c r="E73" s="51">
        <v>0</v>
      </c>
      <c r="F73" s="51">
        <v>0</v>
      </c>
      <c r="G73" s="51">
        <v>8202755</v>
      </c>
      <c r="H73" s="51">
        <v>0</v>
      </c>
      <c r="I73" s="51">
        <v>0</v>
      </c>
      <c r="J73" s="51">
        <v>0</v>
      </c>
      <c r="K73" s="51">
        <v>8202755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8202755</v>
      </c>
      <c r="T73" s="51">
        <v>0</v>
      </c>
    </row>
    <row r="74" spans="1:20" ht="21.75">
      <c r="A74" s="48" t="s">
        <v>240</v>
      </c>
      <c r="B74" s="48" t="s">
        <v>500</v>
      </c>
      <c r="C74" s="51">
        <v>9022333.88</v>
      </c>
      <c r="D74" s="51">
        <v>0</v>
      </c>
      <c r="E74" s="51">
        <v>2622753</v>
      </c>
      <c r="F74" s="51">
        <f>9900+3297367.6</f>
        <v>3307267.6</v>
      </c>
      <c r="G74" s="51">
        <f>C74+E74-F74</f>
        <v>8337819.280000001</v>
      </c>
      <c r="H74" s="51">
        <v>0</v>
      </c>
      <c r="I74" s="51">
        <v>0</v>
      </c>
      <c r="J74" s="51"/>
      <c r="K74" s="51">
        <v>8337819.28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8337819.28</v>
      </c>
      <c r="T74" s="51">
        <v>0</v>
      </c>
    </row>
    <row r="75" spans="1:20" ht="21.75">
      <c r="A75" s="48" t="s">
        <v>778</v>
      </c>
      <c r="B75" s="48" t="s">
        <v>779</v>
      </c>
      <c r="C75" s="51">
        <v>0</v>
      </c>
      <c r="D75" s="51">
        <v>0</v>
      </c>
      <c r="E75" s="51">
        <v>2612853</v>
      </c>
      <c r="F75" s="51">
        <v>0</v>
      </c>
      <c r="G75" s="51">
        <f>E75</f>
        <v>2612853</v>
      </c>
      <c r="H75" s="51">
        <v>0</v>
      </c>
      <c r="I75" s="51"/>
      <c r="J75" s="51">
        <v>0</v>
      </c>
      <c r="K75" s="51">
        <v>2612853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2612853</v>
      </c>
      <c r="T75" s="51">
        <v>0</v>
      </c>
    </row>
    <row r="76" spans="1:20" ht="21.75">
      <c r="A76" s="48" t="s">
        <v>241</v>
      </c>
      <c r="B76" s="48" t="s">
        <v>4</v>
      </c>
      <c r="C76" s="51">
        <v>2532136.89</v>
      </c>
      <c r="D76" s="51">
        <v>0</v>
      </c>
      <c r="E76" s="51">
        <v>0</v>
      </c>
      <c r="F76" s="51">
        <v>534800</v>
      </c>
      <c r="G76" s="51">
        <f>C76-F76</f>
        <v>1997336.8900000001</v>
      </c>
      <c r="H76" s="51">
        <v>0</v>
      </c>
      <c r="I76" s="51">
        <v>0</v>
      </c>
      <c r="J76" s="51"/>
      <c r="K76" s="51">
        <v>1997336.89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1997336.89</v>
      </c>
      <c r="T76" s="51">
        <v>0</v>
      </c>
    </row>
    <row r="77" spans="1:20" ht="21.75">
      <c r="A77" s="48" t="s">
        <v>242</v>
      </c>
      <c r="B77" s="48" t="s">
        <v>243</v>
      </c>
      <c r="C77" s="51">
        <v>748218.79</v>
      </c>
      <c r="D77" s="51">
        <v>0</v>
      </c>
      <c r="E77" s="51">
        <v>584718</v>
      </c>
      <c r="F77" s="51">
        <f>6900+971749.67</f>
        <v>978649.67</v>
      </c>
      <c r="G77" s="51">
        <f>C77+E77-F77</f>
        <v>354287.12</v>
      </c>
      <c r="H77" s="51">
        <v>0</v>
      </c>
      <c r="I77" s="51">
        <v>0</v>
      </c>
      <c r="J77" s="51"/>
      <c r="K77" s="51">
        <v>354287.12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354287.12</v>
      </c>
      <c r="T77" s="51">
        <v>0</v>
      </c>
    </row>
    <row r="78" spans="1:20" ht="21.75">
      <c r="A78" s="48" t="s">
        <v>780</v>
      </c>
      <c r="B78" s="48" t="s">
        <v>781</v>
      </c>
      <c r="C78" s="51">
        <v>56140</v>
      </c>
      <c r="D78" s="51">
        <v>0</v>
      </c>
      <c r="E78" s="51">
        <v>577818</v>
      </c>
      <c r="F78" s="51">
        <v>0</v>
      </c>
      <c r="G78" s="51">
        <f>C78+E78</f>
        <v>633958</v>
      </c>
      <c r="H78" s="51">
        <v>0</v>
      </c>
      <c r="I78" s="51"/>
      <c r="J78" s="51">
        <v>0</v>
      </c>
      <c r="K78" s="51">
        <v>633958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633958</v>
      </c>
      <c r="T78" s="51">
        <v>0</v>
      </c>
    </row>
    <row r="79" spans="1:20" ht="21.75">
      <c r="A79" s="48" t="s">
        <v>244</v>
      </c>
      <c r="B79" s="48" t="s">
        <v>245</v>
      </c>
      <c r="C79" s="51">
        <v>20000</v>
      </c>
      <c r="D79" s="51">
        <v>0</v>
      </c>
      <c r="E79" s="51">
        <v>0</v>
      </c>
      <c r="F79" s="51">
        <v>0</v>
      </c>
      <c r="G79" s="51">
        <v>20000</v>
      </c>
      <c r="H79" s="51">
        <v>0</v>
      </c>
      <c r="I79" s="51">
        <v>0</v>
      </c>
      <c r="J79" s="51">
        <v>0</v>
      </c>
      <c r="K79" s="51">
        <v>20000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20000</v>
      </c>
      <c r="T79" s="51">
        <v>0</v>
      </c>
    </row>
    <row r="80" spans="1:20" ht="21.75">
      <c r="A80" s="48" t="s">
        <v>501</v>
      </c>
      <c r="B80" s="48" t="s">
        <v>395</v>
      </c>
      <c r="C80" s="51">
        <v>52000</v>
      </c>
      <c r="D80" s="51">
        <v>0</v>
      </c>
      <c r="E80" s="51">
        <v>0</v>
      </c>
      <c r="F80" s="51">
        <v>52000</v>
      </c>
      <c r="G80" s="51">
        <f>C80-F80</f>
        <v>0</v>
      </c>
      <c r="H80" s="51">
        <v>0</v>
      </c>
      <c r="I80" s="51">
        <v>0</v>
      </c>
      <c r="J80" s="51"/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</row>
    <row r="81" spans="1:20" ht="21.75">
      <c r="A81" s="48" t="s">
        <v>502</v>
      </c>
      <c r="B81" s="48" t="s">
        <v>503</v>
      </c>
      <c r="C81" s="51">
        <v>54193.32</v>
      </c>
      <c r="D81" s="51">
        <v>0</v>
      </c>
      <c r="E81" s="51">
        <v>0</v>
      </c>
      <c r="F81" s="51">
        <v>18064.44</v>
      </c>
      <c r="G81" s="51">
        <f>C81-F81</f>
        <v>36128.880000000005</v>
      </c>
      <c r="H81" s="51">
        <v>0</v>
      </c>
      <c r="I81" s="51">
        <v>0</v>
      </c>
      <c r="J81" s="51"/>
      <c r="K81" s="51">
        <v>36128.88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36128.88</v>
      </c>
      <c r="T81" s="51">
        <v>0</v>
      </c>
    </row>
    <row r="82" spans="1:20" ht="21.75">
      <c r="A82" s="48" t="s">
        <v>782</v>
      </c>
      <c r="B82" s="48" t="s">
        <v>783</v>
      </c>
      <c r="C82" s="51">
        <v>0</v>
      </c>
      <c r="D82" s="51">
        <v>0</v>
      </c>
      <c r="E82" s="51">
        <v>80000</v>
      </c>
      <c r="F82" s="51">
        <v>16000</v>
      </c>
      <c r="G82" s="51">
        <f>E82-F82</f>
        <v>64000</v>
      </c>
      <c r="H82" s="51">
        <v>0</v>
      </c>
      <c r="I82" s="51">
        <v>0</v>
      </c>
      <c r="J82" s="51"/>
      <c r="K82" s="51">
        <v>64000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64000</v>
      </c>
      <c r="T82" s="51">
        <v>0</v>
      </c>
    </row>
    <row r="83" spans="1:20" ht="21.75">
      <c r="A83" s="48" t="s">
        <v>246</v>
      </c>
      <c r="B83" s="48" t="s">
        <v>247</v>
      </c>
      <c r="C83" s="51">
        <v>120000</v>
      </c>
      <c r="D83" s="51">
        <v>0</v>
      </c>
      <c r="E83" s="51">
        <v>0</v>
      </c>
      <c r="F83" s="51">
        <v>0</v>
      </c>
      <c r="G83" s="51">
        <v>120000</v>
      </c>
      <c r="H83" s="51">
        <v>0</v>
      </c>
      <c r="I83" s="51">
        <v>0</v>
      </c>
      <c r="J83" s="51">
        <v>0</v>
      </c>
      <c r="K83" s="51">
        <v>120000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120000</v>
      </c>
      <c r="T83" s="51">
        <v>0</v>
      </c>
    </row>
    <row r="84" spans="1:20" ht="21.75">
      <c r="A84" s="48" t="s">
        <v>248</v>
      </c>
      <c r="B84" s="48" t="s">
        <v>249</v>
      </c>
      <c r="C84" s="51">
        <v>0</v>
      </c>
      <c r="D84" s="51">
        <v>109062113.3</v>
      </c>
      <c r="E84" s="51">
        <v>262807002.1</v>
      </c>
      <c r="F84" s="51">
        <v>286770424</v>
      </c>
      <c r="G84" s="51">
        <v>0</v>
      </c>
      <c r="H84" s="51">
        <v>133025535.2</v>
      </c>
      <c r="I84" s="51">
        <v>0</v>
      </c>
      <c r="J84" s="51">
        <v>0</v>
      </c>
      <c r="K84" s="51">
        <v>0</v>
      </c>
      <c r="L84" s="51">
        <v>133025535.2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133025535.2</v>
      </c>
    </row>
    <row r="85" spans="1:20" ht="21.75">
      <c r="A85" s="48" t="s">
        <v>504</v>
      </c>
      <c r="B85" s="48" t="s">
        <v>505</v>
      </c>
      <c r="C85" s="51">
        <v>0</v>
      </c>
      <c r="D85" s="51">
        <v>14999999.68</v>
      </c>
      <c r="E85" s="51">
        <v>37814037.31</v>
      </c>
      <c r="F85" s="51">
        <v>37814037</v>
      </c>
      <c r="G85" s="51">
        <v>0</v>
      </c>
      <c r="H85" s="51">
        <v>14999999.37</v>
      </c>
      <c r="I85" s="51">
        <v>0</v>
      </c>
      <c r="J85" s="51">
        <v>0</v>
      </c>
      <c r="K85" s="51">
        <v>0</v>
      </c>
      <c r="L85" s="51">
        <v>14999999.37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14999999.37</v>
      </c>
    </row>
    <row r="86" spans="1:20" ht="21.75">
      <c r="A86" s="48" t="s">
        <v>506</v>
      </c>
      <c r="B86" s="48" t="s">
        <v>507</v>
      </c>
      <c r="C86" s="51">
        <v>0</v>
      </c>
      <c r="D86" s="51">
        <v>74968776.09</v>
      </c>
      <c r="E86" s="51">
        <v>63581599.03</v>
      </c>
      <c r="F86" s="51">
        <v>61818000</v>
      </c>
      <c r="G86" s="51">
        <v>0</v>
      </c>
      <c r="H86" s="51">
        <v>73205177.06</v>
      </c>
      <c r="I86" s="51">
        <v>0</v>
      </c>
      <c r="J86" s="51">
        <v>0</v>
      </c>
      <c r="K86" s="51">
        <v>0</v>
      </c>
      <c r="L86" s="51">
        <v>73205177.06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73205177.06</v>
      </c>
    </row>
    <row r="87" spans="1:20" ht="21.75">
      <c r="A87" s="48" t="s">
        <v>508</v>
      </c>
      <c r="B87" s="48" t="s">
        <v>250</v>
      </c>
      <c r="C87" s="51">
        <v>0</v>
      </c>
      <c r="D87" s="51">
        <v>3000000</v>
      </c>
      <c r="E87" s="51">
        <v>3000000</v>
      </c>
      <c r="F87" s="51">
        <v>3000000</v>
      </c>
      <c r="G87" s="51">
        <v>0</v>
      </c>
      <c r="H87" s="51">
        <v>3000000</v>
      </c>
      <c r="I87" s="51">
        <v>0</v>
      </c>
      <c r="J87" s="51">
        <v>0</v>
      </c>
      <c r="K87" s="51">
        <v>0</v>
      </c>
      <c r="L87" s="51">
        <v>3000000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3000000</v>
      </c>
    </row>
    <row r="88" spans="1:20" ht="21.75">
      <c r="A88" s="48" t="s">
        <v>509</v>
      </c>
      <c r="B88" s="48" t="s">
        <v>510</v>
      </c>
      <c r="C88" s="51">
        <v>0</v>
      </c>
      <c r="D88" s="51">
        <v>4970000</v>
      </c>
      <c r="E88" s="51">
        <v>4970000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</row>
    <row r="89" spans="1:20" ht="21.75">
      <c r="A89" s="48" t="s">
        <v>784</v>
      </c>
      <c r="B89" s="48" t="s">
        <v>785</v>
      </c>
      <c r="C89" s="51">
        <v>0</v>
      </c>
      <c r="D89" s="51">
        <v>0</v>
      </c>
      <c r="E89" s="51">
        <v>0</v>
      </c>
      <c r="F89" s="51">
        <v>2500000</v>
      </c>
      <c r="G89" s="51">
        <v>0</v>
      </c>
      <c r="H89" s="51">
        <v>2500000</v>
      </c>
      <c r="I89" s="51">
        <v>0</v>
      </c>
      <c r="J89" s="51">
        <v>0</v>
      </c>
      <c r="K89" s="51">
        <v>0</v>
      </c>
      <c r="L89" s="51">
        <v>2500000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2500000</v>
      </c>
    </row>
    <row r="90" spans="1:20" ht="21.75">
      <c r="A90" s="48" t="s">
        <v>511</v>
      </c>
      <c r="B90" s="48" t="s">
        <v>426</v>
      </c>
      <c r="C90" s="51">
        <v>0</v>
      </c>
      <c r="D90" s="51">
        <v>1500000</v>
      </c>
      <c r="E90" s="51">
        <v>1500000</v>
      </c>
      <c r="F90" s="51">
        <v>5000000</v>
      </c>
      <c r="G90" s="51">
        <v>0</v>
      </c>
      <c r="H90" s="51">
        <v>5000000</v>
      </c>
      <c r="I90" s="51">
        <v>0</v>
      </c>
      <c r="J90" s="51">
        <v>0</v>
      </c>
      <c r="K90" s="51">
        <v>0</v>
      </c>
      <c r="L90" s="51">
        <v>5000000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5000000</v>
      </c>
    </row>
    <row r="91" spans="1:20" ht="21.75">
      <c r="A91" s="48" t="s">
        <v>251</v>
      </c>
      <c r="B91" s="48" t="s">
        <v>83</v>
      </c>
      <c r="C91" s="51">
        <v>0</v>
      </c>
      <c r="D91" s="51">
        <v>0</v>
      </c>
      <c r="E91" s="51">
        <v>3297355</v>
      </c>
      <c r="F91" s="51">
        <v>3297355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</row>
    <row r="92" spans="1:20" ht="21.75">
      <c r="A92" s="48" t="s">
        <v>252</v>
      </c>
      <c r="B92" s="48" t="s">
        <v>58</v>
      </c>
      <c r="C92" s="51">
        <v>0</v>
      </c>
      <c r="D92" s="51">
        <v>13382613.13</v>
      </c>
      <c r="E92" s="51">
        <f>53597266.26+46974.64</f>
        <v>53644240.9</v>
      </c>
      <c r="F92" s="51">
        <f>52100147.59+237454.98</f>
        <v>52337602.57</v>
      </c>
      <c r="G92" s="51">
        <v>0</v>
      </c>
      <c r="H92" s="51">
        <f>D92+F92-E92</f>
        <v>12075974.800000004</v>
      </c>
      <c r="I92" s="51"/>
      <c r="J92" s="51"/>
      <c r="K92" s="51">
        <v>0</v>
      </c>
      <c r="L92" s="51">
        <v>12075974.8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12075974.8</v>
      </c>
    </row>
    <row r="93" spans="1:20" ht="21.75">
      <c r="A93" s="48" t="s">
        <v>253</v>
      </c>
      <c r="B93" s="48" t="s">
        <v>512</v>
      </c>
      <c r="C93" s="51">
        <v>0</v>
      </c>
      <c r="D93" s="51">
        <v>85549132.97</v>
      </c>
      <c r="E93" s="51">
        <f>45634194.43+3589.95</f>
        <v>45637784.38</v>
      </c>
      <c r="F93" s="51">
        <f>58571569.2+1895071</f>
        <v>60466640.2</v>
      </c>
      <c r="G93" s="51">
        <v>0</v>
      </c>
      <c r="H93" s="51">
        <f>D93+F93-E93</f>
        <v>100377988.79000002</v>
      </c>
      <c r="I93" s="51"/>
      <c r="J93" s="51"/>
      <c r="K93" s="51">
        <v>0</v>
      </c>
      <c r="L93" s="51">
        <v>100377988.79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100377988.79</v>
      </c>
    </row>
    <row r="94" spans="1:20" s="57" customFormat="1" ht="21.75">
      <c r="A94" s="55" t="s">
        <v>254</v>
      </c>
      <c r="B94" s="55" t="s">
        <v>255</v>
      </c>
      <c r="C94" s="56">
        <v>0</v>
      </c>
      <c r="D94" s="56">
        <v>0</v>
      </c>
      <c r="E94" s="56">
        <v>30000</v>
      </c>
      <c r="F94" s="56">
        <v>30000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</row>
    <row r="95" spans="1:20" ht="21.75">
      <c r="A95" s="54" t="s">
        <v>513</v>
      </c>
      <c r="B95" s="54" t="s">
        <v>514</v>
      </c>
      <c r="C95" s="53">
        <v>0</v>
      </c>
      <c r="D95" s="53">
        <v>54822.19</v>
      </c>
      <c r="E95" s="53">
        <v>54822.19</v>
      </c>
      <c r="F95" s="53">
        <v>44438.36</v>
      </c>
      <c r="G95" s="53">
        <v>0</v>
      </c>
      <c r="H95" s="53">
        <f>D95+F95-E95</f>
        <v>44438.36</v>
      </c>
      <c r="I95" s="53">
        <v>0</v>
      </c>
      <c r="J95" s="53"/>
      <c r="K95" s="53">
        <v>0</v>
      </c>
      <c r="L95" s="53">
        <f>H95</f>
        <v>44438.36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44438.36</v>
      </c>
    </row>
    <row r="96" spans="1:20" ht="21.75">
      <c r="A96" s="48" t="s">
        <v>256</v>
      </c>
      <c r="B96" s="48" t="s">
        <v>129</v>
      </c>
      <c r="C96" s="51">
        <v>0</v>
      </c>
      <c r="D96" s="51">
        <v>2700</v>
      </c>
      <c r="E96" s="51">
        <v>41982.26</v>
      </c>
      <c r="F96" s="51">
        <v>41982.26</v>
      </c>
      <c r="G96" s="51">
        <v>0</v>
      </c>
      <c r="H96" s="51">
        <v>2700</v>
      </c>
      <c r="I96" s="51">
        <v>0</v>
      </c>
      <c r="J96" s="51">
        <v>0</v>
      </c>
      <c r="K96" s="51">
        <v>0</v>
      </c>
      <c r="L96" s="51">
        <v>2700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2700</v>
      </c>
    </row>
    <row r="97" spans="1:20" ht="21.75">
      <c r="A97" s="48" t="s">
        <v>515</v>
      </c>
      <c r="B97" s="48" t="s">
        <v>516</v>
      </c>
      <c r="C97" s="51">
        <v>0</v>
      </c>
      <c r="D97" s="51">
        <v>85081.51</v>
      </c>
      <c r="E97" s="51">
        <v>10071.85</v>
      </c>
      <c r="F97" s="51">
        <v>0</v>
      </c>
      <c r="G97" s="51">
        <v>0</v>
      </c>
      <c r="H97" s="51">
        <v>75009.66</v>
      </c>
      <c r="I97" s="51">
        <v>0</v>
      </c>
      <c r="J97" s="51">
        <v>0</v>
      </c>
      <c r="K97" s="51">
        <v>0</v>
      </c>
      <c r="L97" s="51">
        <v>75009.66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75009.66</v>
      </c>
    </row>
    <row r="98" spans="1:20" ht="21.75">
      <c r="A98" s="48" t="s">
        <v>517</v>
      </c>
      <c r="B98" s="48" t="s">
        <v>518</v>
      </c>
      <c r="C98" s="51">
        <v>0</v>
      </c>
      <c r="D98" s="51">
        <v>6589.32</v>
      </c>
      <c r="E98" s="51">
        <v>2677.81</v>
      </c>
      <c r="F98" s="51">
        <v>0</v>
      </c>
      <c r="G98" s="51">
        <v>0</v>
      </c>
      <c r="H98" s="51">
        <v>3911.51</v>
      </c>
      <c r="I98" s="51">
        <v>0</v>
      </c>
      <c r="J98" s="51">
        <v>0</v>
      </c>
      <c r="K98" s="51">
        <v>0</v>
      </c>
      <c r="L98" s="51">
        <v>3911.51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3911.51</v>
      </c>
    </row>
    <row r="99" spans="1:20" ht="21.75">
      <c r="A99" s="48" t="s">
        <v>519</v>
      </c>
      <c r="B99" s="48" t="s">
        <v>786</v>
      </c>
      <c r="C99" s="51">
        <v>0</v>
      </c>
      <c r="D99" s="51">
        <v>0</v>
      </c>
      <c r="E99" s="51">
        <v>2150.94</v>
      </c>
      <c r="F99" s="51">
        <f>4410.68+50564.59</f>
        <v>54975.27</v>
      </c>
      <c r="G99" s="51">
        <v>0</v>
      </c>
      <c r="H99" s="51">
        <f>F99-E99</f>
        <v>52824.329999999994</v>
      </c>
      <c r="I99" s="51">
        <v>0</v>
      </c>
      <c r="J99" s="51"/>
      <c r="K99" s="51">
        <v>0</v>
      </c>
      <c r="L99" s="51">
        <v>52824.33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52824.33</v>
      </c>
    </row>
    <row r="100" spans="1:20" ht="21.75">
      <c r="A100" s="48" t="s">
        <v>520</v>
      </c>
      <c r="B100" s="48" t="s">
        <v>787</v>
      </c>
      <c r="C100" s="51">
        <v>0</v>
      </c>
      <c r="D100" s="51">
        <v>480.3</v>
      </c>
      <c r="E100" s="51">
        <v>639.81</v>
      </c>
      <c r="F100" s="51">
        <v>159.51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</row>
    <row r="101" spans="1:20" ht="21.75">
      <c r="A101" s="48" t="s">
        <v>521</v>
      </c>
      <c r="B101" s="48" t="s">
        <v>257</v>
      </c>
      <c r="C101" s="51">
        <v>0</v>
      </c>
      <c r="D101" s="51">
        <v>0</v>
      </c>
      <c r="E101" s="51">
        <v>277433.87</v>
      </c>
      <c r="F101" s="51">
        <v>277433.87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</row>
    <row r="102" spans="1:20" ht="21.75">
      <c r="A102" s="48" t="s">
        <v>788</v>
      </c>
      <c r="B102" s="48" t="s">
        <v>789</v>
      </c>
      <c r="C102" s="51">
        <v>0</v>
      </c>
      <c r="D102" s="51">
        <v>0</v>
      </c>
      <c r="E102" s="51">
        <v>9630</v>
      </c>
      <c r="F102" s="51">
        <v>10243.5</v>
      </c>
      <c r="G102" s="51">
        <v>0</v>
      </c>
      <c r="H102" s="51">
        <v>613.5</v>
      </c>
      <c r="I102" s="51">
        <v>0</v>
      </c>
      <c r="J102" s="51">
        <v>0</v>
      </c>
      <c r="K102" s="51">
        <v>0</v>
      </c>
      <c r="L102" s="51">
        <v>613.5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613.5</v>
      </c>
    </row>
    <row r="103" spans="1:20" ht="21.75">
      <c r="A103" s="48" t="s">
        <v>790</v>
      </c>
      <c r="B103" s="48" t="s">
        <v>791</v>
      </c>
      <c r="C103" s="51">
        <v>0</v>
      </c>
      <c r="D103" s="51">
        <v>0</v>
      </c>
      <c r="E103" s="51">
        <v>524565</v>
      </c>
      <c r="F103" s="51">
        <v>524565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</row>
    <row r="104" spans="1:20" ht="21.75">
      <c r="A104" s="48" t="s">
        <v>258</v>
      </c>
      <c r="B104" s="48" t="s">
        <v>259</v>
      </c>
      <c r="C104" s="51">
        <v>0</v>
      </c>
      <c r="D104" s="51">
        <v>0</v>
      </c>
      <c r="E104" s="51">
        <v>1233607.48</v>
      </c>
      <c r="F104" s="51">
        <v>1233607.48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</row>
    <row r="105" spans="1:20" ht="21.75">
      <c r="A105" s="48" t="s">
        <v>260</v>
      </c>
      <c r="B105" s="48" t="s">
        <v>261</v>
      </c>
      <c r="C105" s="51">
        <v>0</v>
      </c>
      <c r="D105" s="51">
        <v>0</v>
      </c>
      <c r="E105" s="51">
        <v>19855.3</v>
      </c>
      <c r="F105" s="51">
        <v>19855.3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</row>
    <row r="106" spans="1:20" ht="21.75">
      <c r="A106" s="48" t="s">
        <v>522</v>
      </c>
      <c r="B106" s="48" t="s">
        <v>523</v>
      </c>
      <c r="C106" s="51">
        <v>0</v>
      </c>
      <c r="D106" s="51">
        <v>0</v>
      </c>
      <c r="E106" s="51">
        <v>7888600.87</v>
      </c>
      <c r="F106" s="51">
        <v>7888600.87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</row>
    <row r="107" spans="1:20" ht="21.75">
      <c r="A107" s="48" t="s">
        <v>524</v>
      </c>
      <c r="B107" s="48" t="s">
        <v>350</v>
      </c>
      <c r="C107" s="51">
        <v>0</v>
      </c>
      <c r="D107" s="51">
        <v>0</v>
      </c>
      <c r="E107" s="51">
        <v>28154.45</v>
      </c>
      <c r="F107" s="51">
        <v>28154.45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</row>
    <row r="108" spans="1:20" ht="21.75">
      <c r="A108" s="48" t="s">
        <v>525</v>
      </c>
      <c r="B108" s="48" t="s">
        <v>396</v>
      </c>
      <c r="C108" s="51">
        <v>0</v>
      </c>
      <c r="D108" s="51">
        <v>0</v>
      </c>
      <c r="E108" s="51">
        <v>1014.01</v>
      </c>
      <c r="F108" s="51">
        <v>1014.01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</row>
    <row r="109" spans="1:20" ht="21.75">
      <c r="A109" s="48" t="s">
        <v>526</v>
      </c>
      <c r="B109" s="48" t="s">
        <v>397</v>
      </c>
      <c r="C109" s="51">
        <v>0</v>
      </c>
      <c r="D109" s="51">
        <v>0</v>
      </c>
      <c r="E109" s="51">
        <v>526.47</v>
      </c>
      <c r="F109" s="51">
        <v>526.47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</row>
    <row r="110" spans="1:20" ht="21.75">
      <c r="A110" s="48" t="s">
        <v>527</v>
      </c>
      <c r="B110" s="48" t="s">
        <v>528</v>
      </c>
      <c r="C110" s="51">
        <v>0</v>
      </c>
      <c r="D110" s="51">
        <v>0</v>
      </c>
      <c r="E110" s="51">
        <v>1109.92</v>
      </c>
      <c r="F110" s="51">
        <v>1109.92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</row>
    <row r="111" spans="1:20" ht="21.75">
      <c r="A111" s="48" t="s">
        <v>529</v>
      </c>
      <c r="B111" s="48" t="s">
        <v>530</v>
      </c>
      <c r="C111" s="51">
        <v>0</v>
      </c>
      <c r="D111" s="51">
        <v>0</v>
      </c>
      <c r="E111" s="51">
        <v>1819.44</v>
      </c>
      <c r="F111" s="51">
        <v>1819.44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</row>
    <row r="112" spans="1:20" ht="21.75">
      <c r="A112" s="48" t="s">
        <v>531</v>
      </c>
      <c r="B112" s="48" t="s">
        <v>411</v>
      </c>
      <c r="C112" s="51">
        <v>0</v>
      </c>
      <c r="D112" s="51">
        <v>150</v>
      </c>
      <c r="E112" s="51">
        <v>0</v>
      </c>
      <c r="F112" s="51">
        <v>0</v>
      </c>
      <c r="G112" s="51">
        <v>0</v>
      </c>
      <c r="H112" s="51">
        <v>150</v>
      </c>
      <c r="I112" s="51">
        <v>0</v>
      </c>
      <c r="J112" s="51">
        <v>0</v>
      </c>
      <c r="K112" s="51">
        <v>0</v>
      </c>
      <c r="L112" s="51">
        <v>150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150</v>
      </c>
    </row>
    <row r="113" spans="1:20" ht="21.75">
      <c r="A113" s="48" t="s">
        <v>262</v>
      </c>
      <c r="B113" s="48" t="s">
        <v>146</v>
      </c>
      <c r="C113" s="51">
        <v>0</v>
      </c>
      <c r="D113" s="51">
        <v>17308</v>
      </c>
      <c r="E113" s="51">
        <v>220056</v>
      </c>
      <c r="F113" s="51">
        <v>220860</v>
      </c>
      <c r="G113" s="51">
        <v>0</v>
      </c>
      <c r="H113" s="51">
        <v>18112</v>
      </c>
      <c r="I113" s="51">
        <v>0</v>
      </c>
      <c r="J113" s="51">
        <v>0</v>
      </c>
      <c r="K113" s="51">
        <v>0</v>
      </c>
      <c r="L113" s="51">
        <v>18112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18112</v>
      </c>
    </row>
    <row r="114" spans="1:20" ht="21.75">
      <c r="A114" s="48" t="s">
        <v>532</v>
      </c>
      <c r="B114" s="48" t="s">
        <v>412</v>
      </c>
      <c r="C114" s="51">
        <v>0</v>
      </c>
      <c r="D114" s="51">
        <v>0</v>
      </c>
      <c r="E114" s="51">
        <v>264.08</v>
      </c>
      <c r="F114" s="51">
        <v>264.08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</row>
    <row r="115" spans="1:20" ht="21.75">
      <c r="A115" s="48" t="s">
        <v>533</v>
      </c>
      <c r="B115" s="48" t="s">
        <v>428</v>
      </c>
      <c r="C115" s="51">
        <v>0</v>
      </c>
      <c r="D115" s="51">
        <v>0</v>
      </c>
      <c r="E115" s="51">
        <v>360.1</v>
      </c>
      <c r="F115" s="51">
        <v>360.1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</row>
    <row r="116" spans="1:20" ht="21.75">
      <c r="A116" s="48" t="s">
        <v>534</v>
      </c>
      <c r="B116" s="48" t="s">
        <v>535</v>
      </c>
      <c r="C116" s="51">
        <v>0</v>
      </c>
      <c r="D116" s="51">
        <v>0</v>
      </c>
      <c r="E116" s="51">
        <v>178.57</v>
      </c>
      <c r="F116" s="51">
        <v>178.57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</row>
    <row r="117" spans="1:20" s="57" customFormat="1" ht="21.75">
      <c r="A117" s="55" t="s">
        <v>263</v>
      </c>
      <c r="B117" s="55" t="s">
        <v>536</v>
      </c>
      <c r="C117" s="56">
        <v>0</v>
      </c>
      <c r="D117" s="56">
        <v>988181.79</v>
      </c>
      <c r="E117" s="56">
        <v>3183865.53</v>
      </c>
      <c r="F117" s="56">
        <v>3266343.5</v>
      </c>
      <c r="G117" s="56">
        <v>0</v>
      </c>
      <c r="H117" s="56">
        <v>1070659.76</v>
      </c>
      <c r="I117" s="56">
        <v>0</v>
      </c>
      <c r="J117" s="56">
        <v>0</v>
      </c>
      <c r="K117" s="56">
        <v>0</v>
      </c>
      <c r="L117" s="56">
        <v>1070659.76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1070659.76</v>
      </c>
    </row>
    <row r="118" spans="1:20" ht="21.75">
      <c r="A118" s="54" t="s">
        <v>792</v>
      </c>
      <c r="B118" s="54" t="s">
        <v>793</v>
      </c>
      <c r="C118" s="53">
        <v>0</v>
      </c>
      <c r="D118" s="53">
        <v>0</v>
      </c>
      <c r="E118" s="53">
        <v>400000</v>
      </c>
      <c r="F118" s="53">
        <v>400000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</row>
    <row r="119" spans="1:20" ht="21.75">
      <c r="A119" s="48" t="s">
        <v>537</v>
      </c>
      <c r="B119" s="48" t="s">
        <v>538</v>
      </c>
      <c r="C119" s="51">
        <v>0</v>
      </c>
      <c r="D119" s="51">
        <v>683.6</v>
      </c>
      <c r="E119" s="51">
        <v>683.6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</row>
    <row r="120" spans="1:20" ht="21.75">
      <c r="A120" s="48" t="s">
        <v>539</v>
      </c>
      <c r="B120" s="48" t="s">
        <v>342</v>
      </c>
      <c r="C120" s="51">
        <v>0</v>
      </c>
      <c r="D120" s="51">
        <v>36547.66</v>
      </c>
      <c r="E120" s="51">
        <v>230719.66</v>
      </c>
      <c r="F120" s="51">
        <v>229628</v>
      </c>
      <c r="G120" s="51">
        <v>0</v>
      </c>
      <c r="H120" s="51">
        <v>35456</v>
      </c>
      <c r="I120" s="51">
        <v>0</v>
      </c>
      <c r="J120" s="51">
        <v>0</v>
      </c>
      <c r="K120" s="51">
        <v>0</v>
      </c>
      <c r="L120" s="51">
        <v>35456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35456</v>
      </c>
    </row>
    <row r="121" spans="1:20" ht="21.75">
      <c r="A121" s="48" t="s">
        <v>540</v>
      </c>
      <c r="B121" s="48" t="s">
        <v>398</v>
      </c>
      <c r="C121" s="51">
        <v>0</v>
      </c>
      <c r="D121" s="51">
        <v>6080.19</v>
      </c>
      <c r="E121" s="51">
        <v>18553.95</v>
      </c>
      <c r="F121" s="51">
        <v>19526.35</v>
      </c>
      <c r="G121" s="51">
        <v>0</v>
      </c>
      <c r="H121" s="51">
        <v>7052.59</v>
      </c>
      <c r="I121" s="51">
        <v>0</v>
      </c>
      <c r="J121" s="51">
        <v>0</v>
      </c>
      <c r="K121" s="51">
        <v>0</v>
      </c>
      <c r="L121" s="51">
        <v>7052.59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7052.59</v>
      </c>
    </row>
    <row r="122" spans="1:20" ht="21.75">
      <c r="A122" s="48" t="s">
        <v>541</v>
      </c>
      <c r="B122" s="48" t="s">
        <v>427</v>
      </c>
      <c r="C122" s="51">
        <v>0</v>
      </c>
      <c r="D122" s="51">
        <v>44236.95</v>
      </c>
      <c r="E122" s="51">
        <v>483895.1</v>
      </c>
      <c r="F122" s="51">
        <v>502401.69</v>
      </c>
      <c r="G122" s="51">
        <v>0</v>
      </c>
      <c r="H122" s="51">
        <v>62743.54</v>
      </c>
      <c r="I122" s="51">
        <v>0</v>
      </c>
      <c r="J122" s="51">
        <v>0</v>
      </c>
      <c r="K122" s="51">
        <v>0</v>
      </c>
      <c r="L122" s="51">
        <v>62743.54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62743.54</v>
      </c>
    </row>
    <row r="123" spans="1:20" ht="21.75">
      <c r="A123" s="48" t="s">
        <v>264</v>
      </c>
      <c r="B123" s="48" t="s">
        <v>542</v>
      </c>
      <c r="C123" s="51">
        <v>0</v>
      </c>
      <c r="D123" s="51">
        <v>1853127.92</v>
      </c>
      <c r="E123" s="51">
        <v>60202.3</v>
      </c>
      <c r="F123" s="51">
        <f>268553+78129.05</f>
        <v>346682.05</v>
      </c>
      <c r="G123" s="51">
        <v>0</v>
      </c>
      <c r="H123" s="51">
        <f>D123+F123-E123</f>
        <v>2139607.67</v>
      </c>
      <c r="I123" s="51">
        <v>0</v>
      </c>
      <c r="J123" s="51"/>
      <c r="K123" s="51">
        <v>0</v>
      </c>
      <c r="L123" s="51">
        <v>2139607.67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2139607.67</v>
      </c>
    </row>
    <row r="124" spans="1:20" ht="21.75">
      <c r="A124" s="48" t="s">
        <v>543</v>
      </c>
      <c r="B124" s="48" t="s">
        <v>343</v>
      </c>
      <c r="C124" s="51">
        <v>0</v>
      </c>
      <c r="D124" s="51">
        <v>669680</v>
      </c>
      <c r="E124" s="51">
        <v>562590</v>
      </c>
      <c r="F124" s="51">
        <v>252130</v>
      </c>
      <c r="G124" s="51">
        <v>0</v>
      </c>
      <c r="H124" s="51">
        <v>359220</v>
      </c>
      <c r="I124" s="51">
        <v>0</v>
      </c>
      <c r="J124" s="51">
        <v>0</v>
      </c>
      <c r="K124" s="51">
        <v>0</v>
      </c>
      <c r="L124" s="51">
        <v>359220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359220</v>
      </c>
    </row>
    <row r="125" spans="1:20" ht="21.75">
      <c r="A125" s="48" t="s">
        <v>265</v>
      </c>
      <c r="B125" s="48" t="s">
        <v>544</v>
      </c>
      <c r="C125" s="51">
        <v>0</v>
      </c>
      <c r="D125" s="51">
        <v>4435770</v>
      </c>
      <c r="E125" s="51">
        <v>0</v>
      </c>
      <c r="F125" s="51">
        <v>533630</v>
      </c>
      <c r="G125" s="51">
        <v>0</v>
      </c>
      <c r="H125" s="51">
        <f>D125+F125</f>
        <v>4969400</v>
      </c>
      <c r="I125" s="51">
        <v>0</v>
      </c>
      <c r="J125" s="51"/>
      <c r="K125" s="51">
        <v>0</v>
      </c>
      <c r="L125" s="51">
        <v>4969400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4969400</v>
      </c>
    </row>
    <row r="126" spans="1:20" ht="21.75">
      <c r="A126" s="48" t="s">
        <v>545</v>
      </c>
      <c r="B126" s="48" t="s">
        <v>546</v>
      </c>
      <c r="C126" s="51">
        <v>0</v>
      </c>
      <c r="D126" s="51">
        <v>0</v>
      </c>
      <c r="E126" s="51">
        <v>72735</v>
      </c>
      <c r="F126" s="51">
        <v>72735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</row>
    <row r="127" spans="1:20" ht="21.75">
      <c r="A127" s="48" t="s">
        <v>266</v>
      </c>
      <c r="B127" s="48" t="s">
        <v>547</v>
      </c>
      <c r="C127" s="51">
        <v>0</v>
      </c>
      <c r="D127" s="51">
        <v>472831.27</v>
      </c>
      <c r="E127" s="51">
        <v>0</v>
      </c>
      <c r="F127" s="51">
        <f>6021+2.15</f>
        <v>6023.15</v>
      </c>
      <c r="G127" s="51">
        <v>0</v>
      </c>
      <c r="H127" s="51">
        <f>D127+F127</f>
        <v>478854.42000000004</v>
      </c>
      <c r="I127" s="51">
        <v>0</v>
      </c>
      <c r="J127" s="51">
        <v>0</v>
      </c>
      <c r="K127" s="51">
        <v>0</v>
      </c>
      <c r="L127" s="51">
        <v>478854.42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478854.42</v>
      </c>
    </row>
    <row r="128" spans="1:20" ht="21.75">
      <c r="A128" s="48" t="s">
        <v>548</v>
      </c>
      <c r="B128" s="48" t="s">
        <v>549</v>
      </c>
      <c r="C128" s="51">
        <v>0</v>
      </c>
      <c r="D128" s="51">
        <v>1048500</v>
      </c>
      <c r="E128" s="51">
        <v>0</v>
      </c>
      <c r="F128" s="51">
        <v>0</v>
      </c>
      <c r="G128" s="51">
        <v>0</v>
      </c>
      <c r="H128" s="51">
        <v>1048500</v>
      </c>
      <c r="I128" s="51">
        <v>0</v>
      </c>
      <c r="J128" s="51">
        <v>0</v>
      </c>
      <c r="K128" s="51">
        <v>0</v>
      </c>
      <c r="L128" s="51">
        <v>1048500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1048500</v>
      </c>
    </row>
    <row r="129" spans="1:20" ht="21.75">
      <c r="A129" s="48" t="s">
        <v>550</v>
      </c>
      <c r="B129" s="48" t="s">
        <v>551</v>
      </c>
      <c r="C129" s="51">
        <v>0</v>
      </c>
      <c r="D129" s="51">
        <v>845000</v>
      </c>
      <c r="E129" s="51">
        <v>65000</v>
      </c>
      <c r="F129" s="51">
        <v>0</v>
      </c>
      <c r="G129" s="51">
        <v>0</v>
      </c>
      <c r="H129" s="51">
        <f>D129-E129</f>
        <v>780000</v>
      </c>
      <c r="I129" s="51"/>
      <c r="J129" s="51">
        <v>0</v>
      </c>
      <c r="K129" s="51">
        <v>0</v>
      </c>
      <c r="L129" s="51">
        <v>780000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780000</v>
      </c>
    </row>
    <row r="130" spans="1:20" ht="21.75">
      <c r="A130" s="48" t="s">
        <v>552</v>
      </c>
      <c r="B130" s="48" t="s">
        <v>553</v>
      </c>
      <c r="C130" s="51">
        <v>0</v>
      </c>
      <c r="D130" s="51">
        <v>761643.84</v>
      </c>
      <c r="E130" s="51">
        <v>50000</v>
      </c>
      <c r="F130" s="51">
        <v>0</v>
      </c>
      <c r="G130" s="51">
        <v>0</v>
      </c>
      <c r="H130" s="51">
        <f>D130-E130</f>
        <v>711643.84</v>
      </c>
      <c r="I130" s="51"/>
      <c r="J130" s="51">
        <v>0</v>
      </c>
      <c r="K130" s="51">
        <v>0</v>
      </c>
      <c r="L130" s="51">
        <v>711643.84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711643.84</v>
      </c>
    </row>
    <row r="131" spans="1:20" ht="21.75">
      <c r="A131" s="48" t="s">
        <v>554</v>
      </c>
      <c r="B131" s="48" t="s">
        <v>399</v>
      </c>
      <c r="C131" s="51">
        <v>0</v>
      </c>
      <c r="D131" s="51">
        <v>420068.49</v>
      </c>
      <c r="E131" s="51">
        <v>25000</v>
      </c>
      <c r="F131" s="51">
        <v>0</v>
      </c>
      <c r="G131" s="51">
        <v>0</v>
      </c>
      <c r="H131" s="51">
        <f>D131-E131</f>
        <v>395068.49</v>
      </c>
      <c r="I131" s="51"/>
      <c r="J131" s="51">
        <v>0</v>
      </c>
      <c r="K131" s="51">
        <v>0</v>
      </c>
      <c r="L131" s="51">
        <v>395068.49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395068.49</v>
      </c>
    </row>
    <row r="132" spans="1:20" ht="21.75">
      <c r="A132" s="48" t="s">
        <v>555</v>
      </c>
      <c r="B132" s="48" t="s">
        <v>413</v>
      </c>
      <c r="C132" s="51">
        <v>0</v>
      </c>
      <c r="D132" s="51">
        <v>1939200</v>
      </c>
      <c r="E132" s="51">
        <v>109500</v>
      </c>
      <c r="F132" s="51">
        <v>0</v>
      </c>
      <c r="G132" s="51">
        <v>0</v>
      </c>
      <c r="H132" s="51">
        <f>D132-E132</f>
        <v>1829700</v>
      </c>
      <c r="I132" s="51"/>
      <c r="J132" s="51">
        <v>0</v>
      </c>
      <c r="K132" s="51">
        <v>0</v>
      </c>
      <c r="L132" s="51">
        <v>1829700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1829700</v>
      </c>
    </row>
    <row r="133" spans="1:20" ht="21.75">
      <c r="A133" s="48" t="s">
        <v>556</v>
      </c>
      <c r="B133" s="48" t="s">
        <v>794</v>
      </c>
      <c r="C133" s="51">
        <v>0</v>
      </c>
      <c r="D133" s="51">
        <v>0</v>
      </c>
      <c r="E133" s="51">
        <v>60000</v>
      </c>
      <c r="F133" s="51">
        <v>60000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</row>
    <row r="134" spans="1:20" ht="21.75">
      <c r="A134" s="48" t="s">
        <v>795</v>
      </c>
      <c r="B134" s="48" t="s">
        <v>796</v>
      </c>
      <c r="C134" s="51">
        <v>0</v>
      </c>
      <c r="D134" s="51">
        <v>0</v>
      </c>
      <c r="E134" s="51">
        <v>70000</v>
      </c>
      <c r="F134" s="51">
        <v>70000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</row>
    <row r="135" spans="1:20" ht="21.75">
      <c r="A135" s="48" t="s">
        <v>267</v>
      </c>
      <c r="B135" s="48" t="s">
        <v>268</v>
      </c>
      <c r="C135" s="51">
        <v>0</v>
      </c>
      <c r="D135" s="51">
        <v>60016250</v>
      </c>
      <c r="E135" s="51">
        <v>4142300</v>
      </c>
      <c r="F135" s="51">
        <v>9288250</v>
      </c>
      <c r="G135" s="51">
        <v>0</v>
      </c>
      <c r="H135" s="51">
        <v>65162200</v>
      </c>
      <c r="I135" s="51">
        <v>0</v>
      </c>
      <c r="J135" s="51">
        <v>0</v>
      </c>
      <c r="K135" s="51">
        <v>0</v>
      </c>
      <c r="L135" s="51">
        <v>65162200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65162200</v>
      </c>
    </row>
    <row r="136" spans="1:20" ht="21.75">
      <c r="A136" s="48" t="s">
        <v>269</v>
      </c>
      <c r="B136" s="48" t="s">
        <v>26</v>
      </c>
      <c r="C136" s="51">
        <v>0</v>
      </c>
      <c r="D136" s="51">
        <v>10013178.47</v>
      </c>
      <c r="E136" s="51">
        <v>0</v>
      </c>
      <c r="F136" s="51">
        <v>2488933</v>
      </c>
      <c r="G136" s="51">
        <v>0</v>
      </c>
      <c r="H136" s="51">
        <v>12502111.47</v>
      </c>
      <c r="I136" s="51">
        <v>0</v>
      </c>
      <c r="J136" s="51">
        <v>0</v>
      </c>
      <c r="K136" s="51">
        <v>0</v>
      </c>
      <c r="L136" s="51">
        <v>12502111.47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12502111.47</v>
      </c>
    </row>
    <row r="137" spans="1:20" ht="21.75">
      <c r="A137" s="48" t="s">
        <v>270</v>
      </c>
      <c r="B137" s="48" t="s">
        <v>116</v>
      </c>
      <c r="C137" s="51">
        <v>0</v>
      </c>
      <c r="D137" s="51">
        <v>195540</v>
      </c>
      <c r="E137" s="51">
        <v>53219</v>
      </c>
      <c r="F137" s="51">
        <v>54000</v>
      </c>
      <c r="G137" s="51">
        <v>0</v>
      </c>
      <c r="H137" s="51">
        <v>196321</v>
      </c>
      <c r="I137" s="51">
        <v>0</v>
      </c>
      <c r="J137" s="51">
        <v>0</v>
      </c>
      <c r="K137" s="51">
        <v>0</v>
      </c>
      <c r="L137" s="51">
        <v>196321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196321</v>
      </c>
    </row>
    <row r="138" spans="1:20" ht="21.75">
      <c r="A138" s="48" t="s">
        <v>271</v>
      </c>
      <c r="B138" s="48" t="s">
        <v>152</v>
      </c>
      <c r="C138" s="51">
        <v>0</v>
      </c>
      <c r="D138" s="51">
        <v>912885.93</v>
      </c>
      <c r="E138" s="51">
        <v>0</v>
      </c>
      <c r="F138" s="51">
        <v>100000</v>
      </c>
      <c r="G138" s="51">
        <v>0</v>
      </c>
      <c r="H138" s="51">
        <v>1012885.93</v>
      </c>
      <c r="I138" s="51">
        <v>0</v>
      </c>
      <c r="J138" s="51">
        <v>0</v>
      </c>
      <c r="K138" s="51">
        <v>0</v>
      </c>
      <c r="L138" s="51">
        <v>1012885.93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1012885.93</v>
      </c>
    </row>
    <row r="139" spans="1:20" ht="21.75">
      <c r="A139" s="48" t="s">
        <v>272</v>
      </c>
      <c r="B139" s="48" t="s">
        <v>153</v>
      </c>
      <c r="C139" s="51">
        <v>0</v>
      </c>
      <c r="D139" s="51">
        <v>1147244</v>
      </c>
      <c r="E139" s="51">
        <v>111553</v>
      </c>
      <c r="F139" s="51">
        <v>327811.5</v>
      </c>
      <c r="G139" s="51">
        <v>0</v>
      </c>
      <c r="H139" s="51">
        <v>1363502.5</v>
      </c>
      <c r="I139" s="51">
        <v>0</v>
      </c>
      <c r="J139" s="51">
        <v>0</v>
      </c>
      <c r="K139" s="51">
        <v>0</v>
      </c>
      <c r="L139" s="51">
        <v>1363502.5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1363502.5</v>
      </c>
    </row>
    <row r="140" spans="1:20" s="57" customFormat="1" ht="21.75">
      <c r="A140" s="55" t="s">
        <v>273</v>
      </c>
      <c r="B140" s="55" t="s">
        <v>154</v>
      </c>
      <c r="C140" s="56">
        <v>0</v>
      </c>
      <c r="D140" s="56">
        <v>2080000</v>
      </c>
      <c r="E140" s="56">
        <v>0</v>
      </c>
      <c r="F140" s="56">
        <v>300000</v>
      </c>
      <c r="G140" s="56">
        <v>0</v>
      </c>
      <c r="H140" s="56">
        <v>2380000</v>
      </c>
      <c r="I140" s="56">
        <v>0</v>
      </c>
      <c r="J140" s="56">
        <v>0</v>
      </c>
      <c r="K140" s="56">
        <v>0</v>
      </c>
      <c r="L140" s="56">
        <v>2380000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2380000</v>
      </c>
    </row>
    <row r="141" spans="1:20" ht="21.75">
      <c r="A141" s="54" t="s">
        <v>274</v>
      </c>
      <c r="B141" s="54" t="s">
        <v>275</v>
      </c>
      <c r="C141" s="53">
        <v>0</v>
      </c>
      <c r="D141" s="53">
        <v>857654</v>
      </c>
      <c r="E141" s="53">
        <f>308657.5+52800</f>
        <v>361457.5</v>
      </c>
      <c r="F141" s="53">
        <v>500000</v>
      </c>
      <c r="G141" s="53">
        <v>0</v>
      </c>
      <c r="H141" s="53">
        <f>D141+F141-E141</f>
        <v>996196.5</v>
      </c>
      <c r="I141" s="53"/>
      <c r="J141" s="53">
        <v>0</v>
      </c>
      <c r="K141" s="53">
        <v>0</v>
      </c>
      <c r="L141" s="53">
        <f>H141-I141</f>
        <v>996196.5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f>L141</f>
        <v>996196.5</v>
      </c>
    </row>
    <row r="142" spans="1:20" ht="21.75">
      <c r="A142" s="48" t="s">
        <v>797</v>
      </c>
      <c r="B142" s="48" t="s">
        <v>686</v>
      </c>
      <c r="C142" s="51">
        <v>0</v>
      </c>
      <c r="D142" s="51">
        <v>100000</v>
      </c>
      <c r="E142" s="51">
        <v>0</v>
      </c>
      <c r="F142" s="51">
        <v>100000</v>
      </c>
      <c r="G142" s="51">
        <v>0</v>
      </c>
      <c r="H142" s="51">
        <v>200000</v>
      </c>
      <c r="I142" s="51">
        <v>0</v>
      </c>
      <c r="J142" s="51">
        <v>0</v>
      </c>
      <c r="K142" s="51">
        <v>0</v>
      </c>
      <c r="L142" s="51">
        <v>200000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200000</v>
      </c>
    </row>
    <row r="143" spans="1:20" ht="21.75">
      <c r="A143" s="48" t="s">
        <v>276</v>
      </c>
      <c r="B143" s="48" t="s">
        <v>151</v>
      </c>
      <c r="C143" s="51">
        <v>0</v>
      </c>
      <c r="D143" s="51">
        <v>67427.17</v>
      </c>
      <c r="E143" s="51">
        <v>0</v>
      </c>
      <c r="F143" s="51">
        <v>6026</v>
      </c>
      <c r="G143" s="51">
        <v>0</v>
      </c>
      <c r="H143" s="51">
        <v>73453.17</v>
      </c>
      <c r="I143" s="51">
        <v>0</v>
      </c>
      <c r="J143" s="51">
        <v>0</v>
      </c>
      <c r="K143" s="51">
        <v>0</v>
      </c>
      <c r="L143" s="51">
        <v>73453.17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73453.17</v>
      </c>
    </row>
    <row r="144" spans="1:20" ht="21.75">
      <c r="A144" s="48" t="s">
        <v>277</v>
      </c>
      <c r="B144" s="48" t="s">
        <v>190</v>
      </c>
      <c r="C144" s="51">
        <v>0</v>
      </c>
      <c r="D144" s="51">
        <v>8212046.5</v>
      </c>
      <c r="E144" s="51">
        <v>8212046.5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</row>
    <row r="145" spans="1:20" ht="21.75">
      <c r="A145" s="48" t="s">
        <v>278</v>
      </c>
      <c r="B145" s="48" t="s">
        <v>97</v>
      </c>
      <c r="C145" s="51">
        <v>0</v>
      </c>
      <c r="D145" s="51">
        <v>0</v>
      </c>
      <c r="E145" s="51">
        <f>9166106.66+36279.31</f>
        <v>9202385.97</v>
      </c>
      <c r="F145" s="51">
        <f>27588469.32+3955246.05</f>
        <v>31543715.37</v>
      </c>
      <c r="G145" s="51">
        <v>0</v>
      </c>
      <c r="H145" s="51">
        <f>F145-E145</f>
        <v>22341329.4</v>
      </c>
      <c r="I145" s="51">
        <v>0</v>
      </c>
      <c r="J145" s="51">
        <v>0</v>
      </c>
      <c r="K145" s="51">
        <v>0</v>
      </c>
      <c r="L145" s="51">
        <f>H145</f>
        <v>22341329.4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22341329.4</v>
      </c>
      <c r="S145" s="51">
        <v>0</v>
      </c>
      <c r="T145" s="51">
        <v>0</v>
      </c>
    </row>
    <row r="146" spans="1:20" ht="21.75">
      <c r="A146" s="48" t="s">
        <v>557</v>
      </c>
      <c r="B146" s="48" t="s">
        <v>558</v>
      </c>
      <c r="C146" s="51">
        <v>0</v>
      </c>
      <c r="D146" s="51">
        <v>0</v>
      </c>
      <c r="E146" s="51">
        <f>5702.95+5702.95</f>
        <v>11405.9</v>
      </c>
      <c r="F146" s="51">
        <f>263730.06+307886.18</f>
        <v>571616.24</v>
      </c>
      <c r="G146" s="51">
        <v>0</v>
      </c>
      <c r="H146" s="51">
        <f>F146-E146</f>
        <v>560210.34</v>
      </c>
      <c r="I146" s="51">
        <v>0</v>
      </c>
      <c r="J146" s="51">
        <v>0</v>
      </c>
      <c r="K146" s="51">
        <v>0</v>
      </c>
      <c r="L146" s="51">
        <f>H146</f>
        <v>560210.34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560210.34</v>
      </c>
      <c r="S146" s="51">
        <v>0</v>
      </c>
      <c r="T146" s="51">
        <v>0</v>
      </c>
    </row>
    <row r="147" spans="1:20" ht="21.75">
      <c r="A147" s="48" t="s">
        <v>798</v>
      </c>
      <c r="B147" s="48" t="s">
        <v>672</v>
      </c>
      <c r="C147" s="51">
        <v>0</v>
      </c>
      <c r="D147" s="51">
        <v>0</v>
      </c>
      <c r="E147" s="51">
        <v>0</v>
      </c>
      <c r="F147" s="51">
        <v>93073.85</v>
      </c>
      <c r="G147" s="51"/>
      <c r="H147" s="51">
        <f>F147-E147</f>
        <v>93073.85</v>
      </c>
      <c r="I147" s="51">
        <v>0</v>
      </c>
      <c r="J147" s="51">
        <v>0</v>
      </c>
      <c r="K147" s="51">
        <v>0</v>
      </c>
      <c r="L147" s="51">
        <f>H147</f>
        <v>93073.85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93073.85</v>
      </c>
      <c r="S147" s="51">
        <v>0</v>
      </c>
      <c r="T147" s="51">
        <v>0</v>
      </c>
    </row>
    <row r="148" spans="1:20" ht="21.75">
      <c r="A148" s="48" t="s">
        <v>799</v>
      </c>
      <c r="B148" s="48" t="s">
        <v>589</v>
      </c>
      <c r="C148" s="51">
        <v>0</v>
      </c>
      <c r="D148" s="51">
        <v>0</v>
      </c>
      <c r="E148" s="51">
        <v>0</v>
      </c>
      <c r="F148" s="51">
        <v>203841.09</v>
      </c>
      <c r="G148" s="51">
        <v>0</v>
      </c>
      <c r="H148" s="51">
        <f>F148-E148</f>
        <v>203841.09</v>
      </c>
      <c r="I148" s="51">
        <v>0</v>
      </c>
      <c r="J148" s="51">
        <v>0</v>
      </c>
      <c r="K148" s="51">
        <v>0</v>
      </c>
      <c r="L148" s="51">
        <f>H148</f>
        <v>203841.09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203841.09</v>
      </c>
      <c r="S148" s="51">
        <v>0</v>
      </c>
      <c r="T148" s="51">
        <v>0</v>
      </c>
    </row>
    <row r="149" spans="1:20" ht="21.75">
      <c r="A149" s="48" t="s">
        <v>559</v>
      </c>
      <c r="B149" s="48" t="s">
        <v>405</v>
      </c>
      <c r="C149" s="51">
        <v>0</v>
      </c>
      <c r="D149" s="51">
        <v>0</v>
      </c>
      <c r="E149" s="51">
        <v>0</v>
      </c>
      <c r="F149" s="51">
        <v>41982.26</v>
      </c>
      <c r="G149" s="51">
        <v>0</v>
      </c>
      <c r="H149" s="51">
        <f>F149-E149</f>
        <v>41982.26</v>
      </c>
      <c r="I149" s="51">
        <v>0</v>
      </c>
      <c r="J149" s="51">
        <v>0</v>
      </c>
      <c r="K149" s="51">
        <v>0</v>
      </c>
      <c r="L149" s="51">
        <f>H149</f>
        <v>41982.26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41982.26</v>
      </c>
      <c r="S149" s="51">
        <v>0</v>
      </c>
      <c r="T149" s="51">
        <v>0</v>
      </c>
    </row>
    <row r="150" spans="1:20" ht="21.75">
      <c r="A150" s="48" t="s">
        <v>280</v>
      </c>
      <c r="B150" s="48" t="s">
        <v>281</v>
      </c>
      <c r="C150" s="51">
        <v>0</v>
      </c>
      <c r="D150" s="51">
        <v>0</v>
      </c>
      <c r="E150" s="51">
        <v>0</v>
      </c>
      <c r="F150" s="51">
        <v>20925410.75</v>
      </c>
      <c r="G150" s="51">
        <v>0</v>
      </c>
      <c r="H150" s="51">
        <v>20925410.75</v>
      </c>
      <c r="I150" s="51">
        <v>0</v>
      </c>
      <c r="J150" s="51">
        <v>0</v>
      </c>
      <c r="K150" s="51">
        <v>0</v>
      </c>
      <c r="L150" s="51">
        <v>20925410.75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20925410.75</v>
      </c>
      <c r="S150" s="51">
        <v>0</v>
      </c>
      <c r="T150" s="51">
        <v>0</v>
      </c>
    </row>
    <row r="151" spans="1:20" ht="21.75">
      <c r="A151" s="48" t="s">
        <v>560</v>
      </c>
      <c r="B151" s="48" t="s">
        <v>561</v>
      </c>
      <c r="C151" s="51">
        <v>0</v>
      </c>
      <c r="D151" s="51">
        <v>0</v>
      </c>
      <c r="E151" s="51">
        <v>0</v>
      </c>
      <c r="F151" s="51">
        <v>112718339.1</v>
      </c>
      <c r="G151" s="51">
        <v>0</v>
      </c>
      <c r="H151" s="51">
        <v>112718339.1</v>
      </c>
      <c r="I151" s="51">
        <v>0</v>
      </c>
      <c r="J151" s="51">
        <v>0</v>
      </c>
      <c r="K151" s="51">
        <v>0</v>
      </c>
      <c r="L151" s="51">
        <v>112718339.1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112718339.1</v>
      </c>
      <c r="S151" s="51">
        <v>0</v>
      </c>
      <c r="T151" s="51">
        <v>0</v>
      </c>
    </row>
    <row r="152" spans="1:20" ht="21.75">
      <c r="A152" s="48" t="s">
        <v>562</v>
      </c>
      <c r="B152" s="48" t="s">
        <v>344</v>
      </c>
      <c r="C152" s="51">
        <v>0</v>
      </c>
      <c r="D152" s="51">
        <v>0</v>
      </c>
      <c r="E152" s="51">
        <v>0</v>
      </c>
      <c r="F152" s="51">
        <v>3770.92</v>
      </c>
      <c r="G152" s="51">
        <v>0</v>
      </c>
      <c r="H152" s="51">
        <v>3770.92</v>
      </c>
      <c r="I152" s="51">
        <v>0</v>
      </c>
      <c r="J152" s="51">
        <v>0</v>
      </c>
      <c r="K152" s="51">
        <v>0</v>
      </c>
      <c r="L152" s="51">
        <v>3770.92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3770.92</v>
      </c>
      <c r="S152" s="51">
        <v>0</v>
      </c>
      <c r="T152" s="51">
        <v>0</v>
      </c>
    </row>
    <row r="153" spans="1:20" ht="21.75">
      <c r="A153" s="48" t="s">
        <v>563</v>
      </c>
      <c r="B153" s="48" t="s">
        <v>414</v>
      </c>
      <c r="C153" s="51">
        <v>0</v>
      </c>
      <c r="D153" s="51">
        <v>0</v>
      </c>
      <c r="E153" s="51">
        <v>0</v>
      </c>
      <c r="F153" s="51">
        <v>173266.04</v>
      </c>
      <c r="G153" s="51">
        <v>0</v>
      </c>
      <c r="H153" s="51">
        <v>173266.04</v>
      </c>
      <c r="I153" s="51">
        <v>0</v>
      </c>
      <c r="J153" s="51">
        <v>0</v>
      </c>
      <c r="K153" s="51">
        <v>0</v>
      </c>
      <c r="L153" s="51">
        <v>173266.04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173266.04</v>
      </c>
      <c r="S153" s="51">
        <v>0</v>
      </c>
      <c r="T153" s="51">
        <v>0</v>
      </c>
    </row>
    <row r="154" spans="1:20" ht="21.75">
      <c r="A154" s="48" t="s">
        <v>564</v>
      </c>
      <c r="B154" s="48" t="s">
        <v>282</v>
      </c>
      <c r="C154" s="51">
        <v>0</v>
      </c>
      <c r="D154" s="51">
        <v>0</v>
      </c>
      <c r="E154" s="51">
        <v>1000</v>
      </c>
      <c r="F154" s="51">
        <v>88030</v>
      </c>
      <c r="G154" s="51">
        <v>0</v>
      </c>
      <c r="H154" s="51">
        <v>87030</v>
      </c>
      <c r="I154" s="51">
        <v>0</v>
      </c>
      <c r="J154" s="51">
        <v>0</v>
      </c>
      <c r="K154" s="51">
        <v>0</v>
      </c>
      <c r="L154" s="51">
        <v>87030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87030</v>
      </c>
      <c r="S154" s="51">
        <v>0</v>
      </c>
      <c r="T154" s="51">
        <v>0</v>
      </c>
    </row>
    <row r="155" spans="1:20" ht="21.75">
      <c r="A155" s="48" t="s">
        <v>565</v>
      </c>
      <c r="B155" s="48" t="s">
        <v>566</v>
      </c>
      <c r="C155" s="51">
        <v>0</v>
      </c>
      <c r="D155" s="51">
        <v>0</v>
      </c>
      <c r="E155" s="51">
        <v>0</v>
      </c>
      <c r="F155" s="51">
        <v>25000</v>
      </c>
      <c r="G155" s="51">
        <v>0</v>
      </c>
      <c r="H155" s="51">
        <f>F155</f>
        <v>25000</v>
      </c>
      <c r="I155" s="51">
        <v>0</v>
      </c>
      <c r="J155" s="51">
        <v>0</v>
      </c>
      <c r="K155" s="51">
        <v>0</v>
      </c>
      <c r="L155" s="51">
        <v>25000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25000</v>
      </c>
      <c r="S155" s="51">
        <v>0</v>
      </c>
      <c r="T155" s="51">
        <v>0</v>
      </c>
    </row>
    <row r="156" spans="1:20" ht="21.75">
      <c r="A156" s="48" t="s">
        <v>567</v>
      </c>
      <c r="B156" s="48" t="s">
        <v>351</v>
      </c>
      <c r="C156" s="51">
        <v>0</v>
      </c>
      <c r="D156" s="51">
        <v>0</v>
      </c>
      <c r="E156" s="51">
        <v>13445</v>
      </c>
      <c r="F156" s="51">
        <f>402205.55+9990</f>
        <v>412195.55</v>
      </c>
      <c r="G156" s="51">
        <v>0</v>
      </c>
      <c r="H156" s="51">
        <f>F156-E156</f>
        <v>398750.55</v>
      </c>
      <c r="I156" s="51">
        <v>0</v>
      </c>
      <c r="J156" s="51">
        <v>0</v>
      </c>
      <c r="K156" s="51">
        <v>0</v>
      </c>
      <c r="L156" s="51">
        <f>H156+J156-I156</f>
        <v>398750.55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f>L156</f>
        <v>398750.55</v>
      </c>
      <c r="S156" s="51">
        <v>0</v>
      </c>
      <c r="T156" s="51">
        <v>0</v>
      </c>
    </row>
    <row r="157" spans="1:20" ht="21.75">
      <c r="A157" s="48" t="s">
        <v>568</v>
      </c>
      <c r="B157" s="48" t="s">
        <v>569</v>
      </c>
      <c r="C157" s="51">
        <v>0</v>
      </c>
      <c r="D157" s="51">
        <v>0</v>
      </c>
      <c r="E157" s="51">
        <v>0</v>
      </c>
      <c r="F157" s="51">
        <v>2551.43</v>
      </c>
      <c r="G157" s="51">
        <v>0</v>
      </c>
      <c r="H157" s="51">
        <v>2551.43</v>
      </c>
      <c r="I157" s="51"/>
      <c r="J157" s="51"/>
      <c r="K157" s="51">
        <v>0</v>
      </c>
      <c r="L157" s="51">
        <f>H157+J157-I157</f>
        <v>2551.43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2551.43</v>
      </c>
      <c r="S157" s="51">
        <v>0</v>
      </c>
      <c r="T157" s="51">
        <v>0</v>
      </c>
    </row>
    <row r="158" spans="1:20" ht="21.75">
      <c r="A158" s="48" t="s">
        <v>570</v>
      </c>
      <c r="B158" s="48" t="s">
        <v>352</v>
      </c>
      <c r="C158" s="51">
        <v>0</v>
      </c>
      <c r="D158" s="51">
        <v>0</v>
      </c>
      <c r="E158" s="51">
        <f>13567+9990</f>
        <v>23557</v>
      </c>
      <c r="F158" s="51">
        <f>122+23435</f>
        <v>23557</v>
      </c>
      <c r="G158" s="51">
        <f>E158-F158</f>
        <v>0</v>
      </c>
      <c r="H158" s="51">
        <f>E158-F158</f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</row>
    <row r="159" spans="1:20" ht="21.75">
      <c r="A159" s="48" t="s">
        <v>571</v>
      </c>
      <c r="B159" s="48" t="s">
        <v>401</v>
      </c>
      <c r="C159" s="51">
        <v>0</v>
      </c>
      <c r="D159" s="51">
        <v>0</v>
      </c>
      <c r="E159" s="51">
        <v>0</v>
      </c>
      <c r="F159" s="51">
        <v>50000</v>
      </c>
      <c r="G159" s="51">
        <v>0</v>
      </c>
      <c r="H159" s="51">
        <v>50000</v>
      </c>
      <c r="I159" s="51">
        <v>0</v>
      </c>
      <c r="J159" s="51">
        <v>0</v>
      </c>
      <c r="K159" s="51">
        <v>0</v>
      </c>
      <c r="L159" s="51">
        <v>50000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50000</v>
      </c>
      <c r="S159" s="51">
        <v>0</v>
      </c>
      <c r="T159" s="51">
        <v>0</v>
      </c>
    </row>
    <row r="160" spans="1:20" ht="21.75">
      <c r="A160" s="48" t="s">
        <v>677</v>
      </c>
      <c r="B160" s="48" t="s">
        <v>400</v>
      </c>
      <c r="C160" s="51">
        <v>0</v>
      </c>
      <c r="D160" s="51">
        <v>0</v>
      </c>
      <c r="E160" s="51">
        <v>0</v>
      </c>
      <c r="F160" s="51">
        <v>65000</v>
      </c>
      <c r="G160" s="51">
        <v>0</v>
      </c>
      <c r="H160" s="51">
        <v>65000</v>
      </c>
      <c r="I160" s="51">
        <v>0</v>
      </c>
      <c r="J160" s="51">
        <v>0</v>
      </c>
      <c r="K160" s="51">
        <v>0</v>
      </c>
      <c r="L160" s="51">
        <v>65000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65000</v>
      </c>
      <c r="S160" s="51">
        <v>0</v>
      </c>
      <c r="T160" s="51">
        <v>0</v>
      </c>
    </row>
    <row r="161" spans="1:20" ht="21.75">
      <c r="A161" s="48" t="s">
        <v>572</v>
      </c>
      <c r="B161" s="48" t="s">
        <v>573</v>
      </c>
      <c r="C161" s="51">
        <v>0</v>
      </c>
      <c r="D161" s="51">
        <v>0</v>
      </c>
      <c r="E161" s="51">
        <v>0</v>
      </c>
      <c r="F161" s="51">
        <v>77390221</v>
      </c>
      <c r="G161" s="51">
        <v>0</v>
      </c>
      <c r="H161" s="51">
        <v>77390221</v>
      </c>
      <c r="I161" s="51">
        <v>0</v>
      </c>
      <c r="J161" s="51">
        <v>0</v>
      </c>
      <c r="K161" s="51">
        <v>0</v>
      </c>
      <c r="L161" s="51">
        <v>77390221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77390221</v>
      </c>
      <c r="S161" s="51">
        <v>0</v>
      </c>
      <c r="T161" s="51">
        <v>0</v>
      </c>
    </row>
    <row r="162" spans="1:20" ht="21.75">
      <c r="A162" s="48" t="s">
        <v>283</v>
      </c>
      <c r="B162" s="48" t="s">
        <v>284</v>
      </c>
      <c r="C162" s="51">
        <v>0</v>
      </c>
      <c r="D162" s="51">
        <v>0</v>
      </c>
      <c r="E162" s="51">
        <v>45021.51</v>
      </c>
      <c r="F162" s="51">
        <v>45021.51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</row>
    <row r="163" spans="1:20" s="57" customFormat="1" ht="21.75">
      <c r="A163" s="55" t="s">
        <v>574</v>
      </c>
      <c r="B163" s="55" t="s">
        <v>415</v>
      </c>
      <c r="C163" s="56">
        <v>0</v>
      </c>
      <c r="D163" s="56">
        <v>0</v>
      </c>
      <c r="E163" s="56">
        <v>0</v>
      </c>
      <c r="F163" s="56">
        <v>109500</v>
      </c>
      <c r="G163" s="56">
        <v>0</v>
      </c>
      <c r="H163" s="56">
        <f>F163</f>
        <v>109500</v>
      </c>
      <c r="I163" s="56">
        <v>0</v>
      </c>
      <c r="J163" s="56"/>
      <c r="K163" s="56">
        <v>0</v>
      </c>
      <c r="L163" s="56">
        <v>109500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v>109500</v>
      </c>
      <c r="S163" s="56">
        <v>0</v>
      </c>
      <c r="T163" s="56">
        <v>0</v>
      </c>
    </row>
    <row r="164" spans="1:20" ht="21.75">
      <c r="A164" s="54" t="s">
        <v>678</v>
      </c>
      <c r="B164" s="54" t="s">
        <v>284</v>
      </c>
      <c r="C164" s="53">
        <v>0</v>
      </c>
      <c r="D164" s="53">
        <v>0</v>
      </c>
      <c r="E164" s="53">
        <v>0</v>
      </c>
      <c r="F164" s="53">
        <v>283647.7</v>
      </c>
      <c r="G164" s="53">
        <v>0</v>
      </c>
      <c r="H164" s="53">
        <v>283647.7</v>
      </c>
      <c r="I164" s="53">
        <v>0</v>
      </c>
      <c r="J164" s="53">
        <v>0</v>
      </c>
      <c r="K164" s="53">
        <v>0</v>
      </c>
      <c r="L164" s="53">
        <v>283647.7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283647.7</v>
      </c>
      <c r="S164" s="53">
        <v>0</v>
      </c>
      <c r="T164" s="53">
        <v>0</v>
      </c>
    </row>
    <row r="165" spans="1:20" ht="21.75">
      <c r="A165" s="48" t="s">
        <v>679</v>
      </c>
      <c r="B165" s="48" t="s">
        <v>800</v>
      </c>
      <c r="C165" s="51">
        <v>0</v>
      </c>
      <c r="D165" s="51">
        <v>0</v>
      </c>
      <c r="E165" s="51">
        <v>0</v>
      </c>
      <c r="F165" s="51">
        <v>5143.9</v>
      </c>
      <c r="G165" s="51">
        <v>0</v>
      </c>
      <c r="H165" s="51">
        <v>5143.9</v>
      </c>
      <c r="I165" s="51">
        <v>0</v>
      </c>
      <c r="J165" s="51">
        <v>0</v>
      </c>
      <c r="K165" s="51">
        <v>0</v>
      </c>
      <c r="L165" s="51">
        <v>5143.9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5143.9</v>
      </c>
      <c r="S165" s="51">
        <v>0</v>
      </c>
      <c r="T165" s="51">
        <v>0</v>
      </c>
    </row>
    <row r="166" spans="1:20" ht="21.75">
      <c r="A166" s="48" t="s">
        <v>575</v>
      </c>
      <c r="B166" s="48" t="s">
        <v>576</v>
      </c>
      <c r="C166" s="51">
        <v>0</v>
      </c>
      <c r="D166" s="51">
        <v>0</v>
      </c>
      <c r="E166" s="51">
        <v>46.73</v>
      </c>
      <c r="F166" s="51">
        <v>46.73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</row>
    <row r="167" spans="1:20" ht="21.75">
      <c r="A167" s="48" t="s">
        <v>285</v>
      </c>
      <c r="B167" s="48" t="s">
        <v>577</v>
      </c>
      <c r="C167" s="51">
        <v>0</v>
      </c>
      <c r="D167" s="51">
        <v>0</v>
      </c>
      <c r="E167" s="51">
        <v>2.15</v>
      </c>
      <c r="F167" s="51">
        <f>44079.39+724.3</f>
        <v>44803.69</v>
      </c>
      <c r="G167" s="51">
        <v>0</v>
      </c>
      <c r="H167" s="51">
        <f>F167-E167</f>
        <v>44801.54</v>
      </c>
      <c r="I167" s="51">
        <v>0</v>
      </c>
      <c r="J167" s="51">
        <v>0</v>
      </c>
      <c r="K167" s="51">
        <v>0</v>
      </c>
      <c r="L167" s="51">
        <f>H167+J167-I167</f>
        <v>44801.54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f>L167</f>
        <v>44801.54</v>
      </c>
      <c r="S167" s="51">
        <v>0</v>
      </c>
      <c r="T167" s="51">
        <v>0</v>
      </c>
    </row>
    <row r="168" spans="1:20" ht="21.75">
      <c r="A168" s="48" t="s">
        <v>286</v>
      </c>
      <c r="B168" s="48" t="s">
        <v>40</v>
      </c>
      <c r="C168" s="51">
        <v>0</v>
      </c>
      <c r="D168" s="51">
        <v>0</v>
      </c>
      <c r="E168" s="51">
        <v>0</v>
      </c>
      <c r="F168" s="51">
        <v>7523.53</v>
      </c>
      <c r="G168" s="51">
        <v>0</v>
      </c>
      <c r="H168" s="51">
        <v>7523.53</v>
      </c>
      <c r="I168" s="51">
        <v>0</v>
      </c>
      <c r="J168" s="51">
        <v>0</v>
      </c>
      <c r="K168" s="51">
        <v>0</v>
      </c>
      <c r="L168" s="51">
        <v>7523.53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7523.53</v>
      </c>
      <c r="S168" s="51">
        <v>0</v>
      </c>
      <c r="T168" s="51">
        <v>0</v>
      </c>
    </row>
    <row r="169" spans="1:20" ht="21.75">
      <c r="A169" s="48" t="s">
        <v>287</v>
      </c>
      <c r="B169" s="48" t="s">
        <v>578</v>
      </c>
      <c r="C169" s="51">
        <v>0</v>
      </c>
      <c r="D169" s="51">
        <v>0</v>
      </c>
      <c r="E169" s="51">
        <v>0</v>
      </c>
      <c r="F169" s="51">
        <v>15886.8</v>
      </c>
      <c r="G169" s="51">
        <v>0</v>
      </c>
      <c r="H169" s="51">
        <v>15886.8</v>
      </c>
      <c r="I169" s="51">
        <v>0</v>
      </c>
      <c r="J169" s="51">
        <v>0</v>
      </c>
      <c r="K169" s="51">
        <v>0</v>
      </c>
      <c r="L169" s="51">
        <v>15886.8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15886.8</v>
      </c>
      <c r="S169" s="51">
        <v>0</v>
      </c>
      <c r="T169" s="51">
        <v>0</v>
      </c>
    </row>
    <row r="170" spans="1:20" ht="21.75">
      <c r="A170" s="48" t="s">
        <v>288</v>
      </c>
      <c r="B170" s="48" t="s">
        <v>579</v>
      </c>
      <c r="C170" s="51">
        <v>0</v>
      </c>
      <c r="D170" s="51">
        <v>0</v>
      </c>
      <c r="E170" s="51">
        <v>0</v>
      </c>
      <c r="F170" s="51">
        <v>14485.99</v>
      </c>
      <c r="G170" s="51">
        <v>0</v>
      </c>
      <c r="H170" s="51">
        <v>14485.99</v>
      </c>
      <c r="I170" s="51">
        <v>0</v>
      </c>
      <c r="J170" s="51">
        <v>0</v>
      </c>
      <c r="K170" s="51">
        <v>0</v>
      </c>
      <c r="L170" s="51">
        <v>14485.99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14485.99</v>
      </c>
      <c r="S170" s="51">
        <v>0</v>
      </c>
      <c r="T170" s="51">
        <v>0</v>
      </c>
    </row>
    <row r="171" spans="1:20" ht="21.75">
      <c r="A171" s="48" t="s">
        <v>289</v>
      </c>
      <c r="B171" s="48" t="s">
        <v>170</v>
      </c>
      <c r="C171" s="51">
        <v>0</v>
      </c>
      <c r="D171" s="51">
        <v>0</v>
      </c>
      <c r="E171" s="51">
        <v>0</v>
      </c>
      <c r="F171" s="51">
        <v>12000</v>
      </c>
      <c r="G171" s="51">
        <v>0</v>
      </c>
      <c r="H171" s="51">
        <v>12000</v>
      </c>
      <c r="I171" s="51">
        <v>0</v>
      </c>
      <c r="J171" s="51">
        <v>0</v>
      </c>
      <c r="K171" s="51">
        <v>0</v>
      </c>
      <c r="L171" s="51">
        <v>12000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12000</v>
      </c>
      <c r="S171" s="51">
        <v>0</v>
      </c>
      <c r="T171" s="51">
        <v>0</v>
      </c>
    </row>
    <row r="172" spans="1:20" ht="21.75">
      <c r="A172" s="48" t="s">
        <v>290</v>
      </c>
      <c r="B172" s="48" t="s">
        <v>169</v>
      </c>
      <c r="C172" s="51">
        <v>0</v>
      </c>
      <c r="D172" s="51">
        <v>0</v>
      </c>
      <c r="E172" s="51">
        <v>0</v>
      </c>
      <c r="F172" s="51">
        <f>1204.87+1388993.27</f>
        <v>1390198.1400000001</v>
      </c>
      <c r="G172" s="51">
        <v>0</v>
      </c>
      <c r="H172" s="51">
        <f>F172</f>
        <v>1390198.1400000001</v>
      </c>
      <c r="I172" s="51">
        <v>0</v>
      </c>
      <c r="J172" s="51"/>
      <c r="K172" s="51">
        <v>0</v>
      </c>
      <c r="L172" s="51">
        <v>1390198.14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1390198.14</v>
      </c>
      <c r="S172" s="51">
        <v>0</v>
      </c>
      <c r="T172" s="51">
        <v>0</v>
      </c>
    </row>
    <row r="173" spans="1:20" ht="21.75">
      <c r="A173" s="48" t="s">
        <v>580</v>
      </c>
      <c r="B173" s="48" t="s">
        <v>581</v>
      </c>
      <c r="C173" s="51">
        <v>0</v>
      </c>
      <c r="D173" s="51">
        <v>0</v>
      </c>
      <c r="E173" s="51">
        <v>0</v>
      </c>
      <c r="F173" s="51">
        <v>25992.06</v>
      </c>
      <c r="G173" s="51">
        <v>0</v>
      </c>
      <c r="H173" s="51">
        <v>25992.06</v>
      </c>
      <c r="I173" s="51">
        <v>0</v>
      </c>
      <c r="J173" s="51">
        <v>0</v>
      </c>
      <c r="K173" s="51">
        <v>0</v>
      </c>
      <c r="L173" s="51">
        <v>25992.06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25992.06</v>
      </c>
      <c r="S173" s="51">
        <v>0</v>
      </c>
      <c r="T173" s="51">
        <v>0</v>
      </c>
    </row>
    <row r="174" spans="1:20" ht="21.75">
      <c r="A174" s="48" t="s">
        <v>582</v>
      </c>
      <c r="B174" s="48" t="s">
        <v>354</v>
      </c>
      <c r="C174" s="51">
        <v>0</v>
      </c>
      <c r="D174" s="51">
        <v>0</v>
      </c>
      <c r="E174" s="51">
        <v>0</v>
      </c>
      <c r="F174" s="51">
        <v>57100</v>
      </c>
      <c r="G174" s="51">
        <v>0</v>
      </c>
      <c r="H174" s="51">
        <v>57100</v>
      </c>
      <c r="I174" s="51">
        <v>0</v>
      </c>
      <c r="J174" s="51">
        <v>0</v>
      </c>
      <c r="K174" s="51">
        <v>0</v>
      </c>
      <c r="L174" s="51">
        <v>57100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57100</v>
      </c>
      <c r="S174" s="51">
        <v>0</v>
      </c>
      <c r="T174" s="51">
        <v>0</v>
      </c>
    </row>
    <row r="175" spans="1:20" ht="21.75">
      <c r="A175" s="48" t="s">
        <v>583</v>
      </c>
      <c r="B175" s="48" t="s">
        <v>279</v>
      </c>
      <c r="C175" s="51">
        <v>0</v>
      </c>
      <c r="D175" s="51">
        <v>0</v>
      </c>
      <c r="E175" s="51">
        <v>0</v>
      </c>
      <c r="F175" s="51">
        <v>61323.69</v>
      </c>
      <c r="G175" s="51">
        <v>0</v>
      </c>
      <c r="H175" s="51">
        <f>F175</f>
        <v>61323.69</v>
      </c>
      <c r="I175" s="51">
        <v>0</v>
      </c>
      <c r="J175" s="51"/>
      <c r="K175" s="51">
        <v>0</v>
      </c>
      <c r="L175" s="51">
        <v>61323.69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61323.69</v>
      </c>
      <c r="S175" s="51">
        <v>0</v>
      </c>
      <c r="T175" s="51">
        <v>0</v>
      </c>
    </row>
    <row r="176" spans="1:20" ht="21.75">
      <c r="A176" s="48" t="s">
        <v>584</v>
      </c>
      <c r="B176" s="48" t="s">
        <v>585</v>
      </c>
      <c r="C176" s="51">
        <v>0</v>
      </c>
      <c r="D176" s="51">
        <v>0</v>
      </c>
      <c r="E176" s="51">
        <v>0</v>
      </c>
      <c r="F176" s="51">
        <v>20400</v>
      </c>
      <c r="G176" s="51">
        <v>0</v>
      </c>
      <c r="H176" s="51">
        <v>20400</v>
      </c>
      <c r="I176" s="51">
        <v>0</v>
      </c>
      <c r="J176" s="51">
        <v>0</v>
      </c>
      <c r="K176" s="51">
        <v>0</v>
      </c>
      <c r="L176" s="51">
        <v>20400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20400</v>
      </c>
      <c r="S176" s="51">
        <v>0</v>
      </c>
      <c r="T176" s="51">
        <v>0</v>
      </c>
    </row>
    <row r="177" spans="1:20" ht="21.75">
      <c r="A177" s="48" t="s">
        <v>801</v>
      </c>
      <c r="B177" s="48" t="s">
        <v>802</v>
      </c>
      <c r="C177" s="51">
        <v>0</v>
      </c>
      <c r="D177" s="51">
        <v>0</v>
      </c>
      <c r="E177" s="51">
        <v>0</v>
      </c>
      <c r="F177" s="51">
        <v>28028</v>
      </c>
      <c r="G177" s="51">
        <v>0</v>
      </c>
      <c r="H177" s="51">
        <v>28028</v>
      </c>
      <c r="I177" s="51">
        <v>0</v>
      </c>
      <c r="J177" s="51">
        <v>0</v>
      </c>
      <c r="K177" s="51">
        <v>0</v>
      </c>
      <c r="L177" s="51">
        <v>28028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28028</v>
      </c>
      <c r="S177" s="51">
        <v>0</v>
      </c>
      <c r="T177" s="51">
        <v>0</v>
      </c>
    </row>
    <row r="178" spans="1:20" ht="21.75">
      <c r="A178" s="48" t="s">
        <v>291</v>
      </c>
      <c r="B178" s="48" t="s">
        <v>586</v>
      </c>
      <c r="C178" s="51">
        <v>0</v>
      </c>
      <c r="D178" s="51">
        <v>0</v>
      </c>
      <c r="E178" s="51">
        <f>5215394.11+14931.51</f>
        <v>5230325.62</v>
      </c>
      <c r="F178" s="51">
        <v>0</v>
      </c>
      <c r="G178" s="51">
        <f>E178</f>
        <v>5230325.62</v>
      </c>
      <c r="H178" s="51">
        <v>0</v>
      </c>
      <c r="I178" s="51"/>
      <c r="J178" s="51">
        <v>0</v>
      </c>
      <c r="K178" s="51">
        <v>5230325.62</v>
      </c>
      <c r="L178" s="51">
        <v>0</v>
      </c>
      <c r="M178" s="51">
        <v>0</v>
      </c>
      <c r="N178" s="51">
        <v>0</v>
      </c>
      <c r="O178" s="51">
        <v>5230325.62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</row>
    <row r="179" spans="1:20" ht="21.75">
      <c r="A179" s="48" t="s">
        <v>676</v>
      </c>
      <c r="B179" s="48" t="s">
        <v>672</v>
      </c>
      <c r="C179" s="51">
        <v>0</v>
      </c>
      <c r="D179" s="51">
        <v>0</v>
      </c>
      <c r="E179" s="51"/>
      <c r="F179" s="51">
        <v>0</v>
      </c>
      <c r="G179" s="51">
        <v>0</v>
      </c>
      <c r="H179" s="51"/>
      <c r="I179" s="51"/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</row>
    <row r="180" spans="1:20" ht="21.75">
      <c r="A180" s="48" t="s">
        <v>587</v>
      </c>
      <c r="B180" s="48" t="s">
        <v>588</v>
      </c>
      <c r="C180" s="51">
        <v>0</v>
      </c>
      <c r="D180" s="51">
        <v>0</v>
      </c>
      <c r="E180" s="51">
        <v>62490.02</v>
      </c>
      <c r="F180" s="51">
        <v>0</v>
      </c>
      <c r="G180" s="51">
        <f>E180</f>
        <v>62490.02</v>
      </c>
      <c r="H180" s="51">
        <v>0</v>
      </c>
      <c r="I180" s="51"/>
      <c r="J180" s="51">
        <v>0</v>
      </c>
      <c r="K180" s="51">
        <v>62490.02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62490.02</v>
      </c>
      <c r="R180" s="51">
        <v>0</v>
      </c>
      <c r="S180" s="51">
        <v>0</v>
      </c>
      <c r="T180" s="51">
        <v>0</v>
      </c>
    </row>
    <row r="181" spans="1:20" ht="21.75">
      <c r="A181" s="48" t="s">
        <v>803</v>
      </c>
      <c r="B181" s="48" t="s">
        <v>292</v>
      </c>
      <c r="C181" s="51">
        <v>0</v>
      </c>
      <c r="D181" s="51">
        <v>0</v>
      </c>
      <c r="E181" s="51"/>
      <c r="F181" s="51">
        <v>0</v>
      </c>
      <c r="G181" s="51">
        <v>0</v>
      </c>
      <c r="H181" s="51"/>
      <c r="I181" s="51"/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</row>
    <row r="182" spans="1:20" ht="21.75">
      <c r="A182" s="48" t="s">
        <v>804</v>
      </c>
      <c r="B182" s="48" t="s">
        <v>805</v>
      </c>
      <c r="C182" s="51">
        <v>0</v>
      </c>
      <c r="D182" s="51">
        <v>0</v>
      </c>
      <c r="E182" s="51">
        <v>251900</v>
      </c>
      <c r="F182" s="51">
        <v>0</v>
      </c>
      <c r="G182" s="51">
        <v>251900</v>
      </c>
      <c r="H182" s="51">
        <v>0</v>
      </c>
      <c r="I182" s="51">
        <v>0</v>
      </c>
      <c r="J182" s="51">
        <v>0</v>
      </c>
      <c r="K182" s="51">
        <v>251900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251900</v>
      </c>
      <c r="R182" s="51">
        <v>0</v>
      </c>
      <c r="S182" s="51">
        <v>0</v>
      </c>
      <c r="T182" s="51">
        <v>0</v>
      </c>
    </row>
    <row r="183" spans="1:20" ht="21.75">
      <c r="A183" s="48" t="s">
        <v>293</v>
      </c>
      <c r="B183" s="48" t="s">
        <v>590</v>
      </c>
      <c r="C183" s="51">
        <v>0</v>
      </c>
      <c r="D183" s="51">
        <v>0</v>
      </c>
      <c r="E183" s="51">
        <v>292440</v>
      </c>
      <c r="F183" s="51">
        <v>0</v>
      </c>
      <c r="G183" s="51">
        <v>292440</v>
      </c>
      <c r="H183" s="51">
        <v>0</v>
      </c>
      <c r="I183" s="51">
        <v>0</v>
      </c>
      <c r="J183" s="51">
        <v>0</v>
      </c>
      <c r="K183" s="51">
        <v>292440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292440</v>
      </c>
      <c r="R183" s="51">
        <v>0</v>
      </c>
      <c r="S183" s="51">
        <v>0</v>
      </c>
      <c r="T183" s="51">
        <v>0</v>
      </c>
    </row>
    <row r="184" spans="1:20" ht="21.75">
      <c r="A184" s="48" t="s">
        <v>294</v>
      </c>
      <c r="B184" s="48" t="s">
        <v>295</v>
      </c>
      <c r="C184" s="51">
        <v>0</v>
      </c>
      <c r="D184" s="51">
        <v>0</v>
      </c>
      <c r="E184" s="51">
        <v>20313520.31</v>
      </c>
      <c r="F184" s="51">
        <v>0</v>
      </c>
      <c r="G184" s="51">
        <v>20313520.31</v>
      </c>
      <c r="H184" s="51">
        <v>0</v>
      </c>
      <c r="I184" s="51">
        <v>0</v>
      </c>
      <c r="J184" s="51">
        <v>0</v>
      </c>
      <c r="K184" s="51">
        <v>20313520.31</v>
      </c>
      <c r="L184" s="51">
        <v>0</v>
      </c>
      <c r="M184" s="51">
        <v>0</v>
      </c>
      <c r="N184" s="51">
        <v>0</v>
      </c>
      <c r="O184" s="51">
        <v>20313520.31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</row>
    <row r="185" spans="1:20" ht="21.75">
      <c r="A185" s="48" t="s">
        <v>591</v>
      </c>
      <c r="B185" s="48" t="s">
        <v>592</v>
      </c>
      <c r="C185" s="51">
        <v>0</v>
      </c>
      <c r="D185" s="51">
        <v>0</v>
      </c>
      <c r="E185" s="51">
        <v>107286407.65</v>
      </c>
      <c r="F185" s="51">
        <v>0</v>
      </c>
      <c r="G185" s="51">
        <v>107286407.65</v>
      </c>
      <c r="H185" s="51">
        <v>0</v>
      </c>
      <c r="I185" s="51">
        <v>0</v>
      </c>
      <c r="J185" s="51">
        <v>0</v>
      </c>
      <c r="K185" s="51">
        <v>107286407.65</v>
      </c>
      <c r="L185" s="51">
        <v>0</v>
      </c>
      <c r="M185" s="51">
        <v>0</v>
      </c>
      <c r="N185" s="51">
        <v>0</v>
      </c>
      <c r="O185" s="51">
        <v>107286407.65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</row>
    <row r="186" spans="1:20" s="57" customFormat="1" ht="21.75">
      <c r="A186" s="55" t="s">
        <v>593</v>
      </c>
      <c r="B186" s="55" t="s">
        <v>594</v>
      </c>
      <c r="C186" s="56">
        <v>0</v>
      </c>
      <c r="D186" s="56">
        <v>0</v>
      </c>
      <c r="E186" s="56">
        <v>3617.99</v>
      </c>
      <c r="F186" s="56">
        <v>0</v>
      </c>
      <c r="G186" s="56">
        <v>3617.99</v>
      </c>
      <c r="H186" s="56">
        <v>0</v>
      </c>
      <c r="I186" s="56">
        <v>0</v>
      </c>
      <c r="J186" s="56">
        <v>0</v>
      </c>
      <c r="K186" s="56">
        <v>3617.99</v>
      </c>
      <c r="L186" s="56">
        <v>0</v>
      </c>
      <c r="M186" s="56">
        <v>0</v>
      </c>
      <c r="N186" s="56">
        <v>0</v>
      </c>
      <c r="O186" s="56">
        <v>3617.99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</row>
    <row r="187" spans="1:20" ht="21.75">
      <c r="A187" s="54" t="s">
        <v>595</v>
      </c>
      <c r="B187" s="54" t="s">
        <v>296</v>
      </c>
      <c r="C187" s="53">
        <v>0</v>
      </c>
      <c r="D187" s="53">
        <v>0</v>
      </c>
      <c r="E187" s="53">
        <v>0</v>
      </c>
      <c r="F187" s="53">
        <v>280110.76</v>
      </c>
      <c r="G187" s="53">
        <v>0</v>
      </c>
      <c r="H187" s="53">
        <v>280110.76</v>
      </c>
      <c r="I187" s="53">
        <v>0</v>
      </c>
      <c r="J187" s="53">
        <v>0</v>
      </c>
      <c r="K187" s="53">
        <v>0</v>
      </c>
      <c r="L187" s="53">
        <v>280110.76</v>
      </c>
      <c r="M187" s="53">
        <v>0</v>
      </c>
      <c r="N187" s="53">
        <v>0</v>
      </c>
      <c r="O187" s="53">
        <v>0</v>
      </c>
      <c r="P187" s="53">
        <v>280110.76</v>
      </c>
      <c r="Q187" s="53">
        <v>0</v>
      </c>
      <c r="R187" s="53">
        <v>0</v>
      </c>
      <c r="S187" s="53">
        <v>0</v>
      </c>
      <c r="T187" s="53">
        <v>0</v>
      </c>
    </row>
    <row r="188" spans="1:20" ht="21.75">
      <c r="A188" s="48" t="s">
        <v>596</v>
      </c>
      <c r="B188" s="48" t="s">
        <v>597</v>
      </c>
      <c r="C188" s="51">
        <v>0</v>
      </c>
      <c r="D188" s="51">
        <v>0</v>
      </c>
      <c r="E188" s="51">
        <v>2015520</v>
      </c>
      <c r="F188" s="51">
        <v>0</v>
      </c>
      <c r="G188" s="51">
        <v>2015520</v>
      </c>
      <c r="H188" s="51">
        <v>0</v>
      </c>
      <c r="I188" s="51">
        <v>0</v>
      </c>
      <c r="J188" s="51">
        <v>0</v>
      </c>
      <c r="K188" s="51">
        <v>2015520</v>
      </c>
      <c r="L188" s="51">
        <v>0</v>
      </c>
      <c r="M188" s="51">
        <v>0</v>
      </c>
      <c r="N188" s="51">
        <v>0</v>
      </c>
      <c r="O188" s="51">
        <v>2015520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</row>
    <row r="189" spans="1:20" ht="21.75">
      <c r="A189" s="48" t="s">
        <v>598</v>
      </c>
      <c r="B189" s="48" t="s">
        <v>599</v>
      </c>
      <c r="C189" s="51">
        <v>0</v>
      </c>
      <c r="D189" s="51">
        <v>0</v>
      </c>
      <c r="E189" s="51">
        <v>718774.2</v>
      </c>
      <c r="F189" s="51">
        <v>89808</v>
      </c>
      <c r="G189" s="51">
        <v>628966.2</v>
      </c>
      <c r="H189" s="51">
        <v>0</v>
      </c>
      <c r="I189" s="51">
        <v>0</v>
      </c>
      <c r="J189" s="51">
        <v>0</v>
      </c>
      <c r="K189" s="51">
        <v>628966.2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628966.2</v>
      </c>
      <c r="R189" s="51">
        <v>0</v>
      </c>
      <c r="S189" s="51">
        <v>0</v>
      </c>
      <c r="T189" s="51">
        <v>0</v>
      </c>
    </row>
    <row r="190" spans="1:20" ht="21.75">
      <c r="A190" s="48" t="s">
        <v>806</v>
      </c>
      <c r="B190" s="48" t="s">
        <v>807</v>
      </c>
      <c r="C190" s="51">
        <v>0</v>
      </c>
      <c r="D190" s="51">
        <v>0</v>
      </c>
      <c r="E190" s="51">
        <v>17940</v>
      </c>
      <c r="F190" s="51">
        <v>0</v>
      </c>
      <c r="G190" s="51">
        <v>17940</v>
      </c>
      <c r="H190" s="51">
        <v>0</v>
      </c>
      <c r="I190" s="51">
        <v>0</v>
      </c>
      <c r="J190" s="51">
        <v>0</v>
      </c>
      <c r="K190" s="51">
        <v>17940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17940</v>
      </c>
      <c r="R190" s="51">
        <v>0</v>
      </c>
      <c r="S190" s="51">
        <v>0</v>
      </c>
      <c r="T190" s="51">
        <v>0</v>
      </c>
    </row>
    <row r="191" spans="1:20" ht="21.75">
      <c r="A191" s="48" t="s">
        <v>600</v>
      </c>
      <c r="B191" s="48" t="s">
        <v>297</v>
      </c>
      <c r="C191" s="51">
        <v>0</v>
      </c>
      <c r="D191" s="51">
        <v>0</v>
      </c>
      <c r="E191" s="51">
        <f>55890.41+11835.62</f>
        <v>67726.03</v>
      </c>
      <c r="F191" s="51">
        <v>0</v>
      </c>
      <c r="G191" s="51">
        <f>E191</f>
        <v>67726.03</v>
      </c>
      <c r="H191" s="51">
        <v>0</v>
      </c>
      <c r="I191" s="51">
        <v>0</v>
      </c>
      <c r="J191" s="51">
        <v>0</v>
      </c>
      <c r="K191" s="51">
        <v>67726.03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67726.03</v>
      </c>
      <c r="R191" s="51">
        <v>0</v>
      </c>
      <c r="S191" s="51">
        <v>0</v>
      </c>
      <c r="T191" s="51">
        <v>0</v>
      </c>
    </row>
    <row r="192" spans="1:20" ht="21.75">
      <c r="A192" s="48" t="s">
        <v>601</v>
      </c>
      <c r="B192" s="48" t="s">
        <v>602</v>
      </c>
      <c r="C192" s="51">
        <v>0</v>
      </c>
      <c r="D192" s="51">
        <v>0</v>
      </c>
      <c r="E192" s="51">
        <v>534292.7</v>
      </c>
      <c r="F192" s="51">
        <v>0</v>
      </c>
      <c r="G192" s="51">
        <v>534292.7</v>
      </c>
      <c r="H192" s="51">
        <v>0</v>
      </c>
      <c r="I192" s="51">
        <v>0</v>
      </c>
      <c r="J192" s="51">
        <v>0</v>
      </c>
      <c r="K192" s="51">
        <v>534292.7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534292.7</v>
      </c>
      <c r="R192" s="51">
        <v>0</v>
      </c>
      <c r="S192" s="51">
        <v>0</v>
      </c>
      <c r="T192" s="51">
        <v>0</v>
      </c>
    </row>
    <row r="193" spans="1:20" ht="21.75">
      <c r="A193" s="48" t="s">
        <v>298</v>
      </c>
      <c r="B193" s="48" t="s">
        <v>603</v>
      </c>
      <c r="C193" s="51">
        <v>0</v>
      </c>
      <c r="D193" s="51">
        <v>0</v>
      </c>
      <c r="E193" s="51">
        <v>728520</v>
      </c>
      <c r="F193" s="51">
        <v>0</v>
      </c>
      <c r="G193" s="51">
        <v>728520</v>
      </c>
      <c r="H193" s="51">
        <v>0</v>
      </c>
      <c r="I193" s="51">
        <v>0</v>
      </c>
      <c r="J193" s="51">
        <v>0</v>
      </c>
      <c r="K193" s="51">
        <v>728520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728520</v>
      </c>
      <c r="R193" s="51">
        <v>0</v>
      </c>
      <c r="S193" s="51">
        <v>0</v>
      </c>
      <c r="T193" s="51">
        <v>0</v>
      </c>
    </row>
    <row r="194" spans="1:20" ht="21.75">
      <c r="A194" s="48" t="s">
        <v>299</v>
      </c>
      <c r="B194" s="48" t="s">
        <v>604</v>
      </c>
      <c r="C194" s="51">
        <v>0</v>
      </c>
      <c r="D194" s="51">
        <v>0</v>
      </c>
      <c r="E194" s="51">
        <v>165600</v>
      </c>
      <c r="F194" s="51">
        <v>0</v>
      </c>
      <c r="G194" s="51">
        <v>165600</v>
      </c>
      <c r="H194" s="51">
        <v>0</v>
      </c>
      <c r="I194" s="51">
        <v>0</v>
      </c>
      <c r="J194" s="51">
        <v>0</v>
      </c>
      <c r="K194" s="51">
        <v>165600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165600</v>
      </c>
      <c r="R194" s="51">
        <v>0</v>
      </c>
      <c r="S194" s="51">
        <v>0</v>
      </c>
      <c r="T194" s="51">
        <v>0</v>
      </c>
    </row>
    <row r="195" spans="1:20" ht="21.75">
      <c r="A195" s="48" t="s">
        <v>300</v>
      </c>
      <c r="B195" s="48" t="s">
        <v>301</v>
      </c>
      <c r="C195" s="51">
        <v>0</v>
      </c>
      <c r="D195" s="51">
        <v>0</v>
      </c>
      <c r="E195" s="51">
        <v>31810</v>
      </c>
      <c r="F195" s="51">
        <v>0</v>
      </c>
      <c r="G195" s="51">
        <v>31810</v>
      </c>
      <c r="H195" s="51">
        <v>0</v>
      </c>
      <c r="I195" s="51">
        <v>0</v>
      </c>
      <c r="J195" s="51">
        <v>0</v>
      </c>
      <c r="K195" s="51">
        <v>31810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31810</v>
      </c>
      <c r="R195" s="51">
        <v>0</v>
      </c>
      <c r="S195" s="51">
        <v>0</v>
      </c>
      <c r="T195" s="51">
        <v>0</v>
      </c>
    </row>
    <row r="196" spans="1:20" ht="21.75">
      <c r="A196" s="48" t="s">
        <v>302</v>
      </c>
      <c r="B196" s="48" t="s">
        <v>605</v>
      </c>
      <c r="C196" s="51">
        <v>0</v>
      </c>
      <c r="D196" s="51">
        <v>0</v>
      </c>
      <c r="E196" s="51">
        <v>41724.12</v>
      </c>
      <c r="F196" s="51">
        <v>0</v>
      </c>
      <c r="G196" s="51">
        <v>41724.12</v>
      </c>
      <c r="H196" s="51">
        <v>0</v>
      </c>
      <c r="I196" s="51">
        <v>0</v>
      </c>
      <c r="J196" s="51">
        <v>0</v>
      </c>
      <c r="K196" s="51">
        <v>41724.12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41724.12</v>
      </c>
      <c r="R196" s="51">
        <v>0</v>
      </c>
      <c r="S196" s="51">
        <v>0</v>
      </c>
      <c r="T196" s="51">
        <v>0</v>
      </c>
    </row>
    <row r="197" spans="1:20" ht="21.75">
      <c r="A197" s="48" t="s">
        <v>606</v>
      </c>
      <c r="B197" s="48" t="s">
        <v>303</v>
      </c>
      <c r="C197" s="51">
        <v>0</v>
      </c>
      <c r="D197" s="51">
        <v>0</v>
      </c>
      <c r="E197" s="51">
        <v>506498.47</v>
      </c>
      <c r="F197" s="51">
        <v>180755.58</v>
      </c>
      <c r="G197" s="51">
        <v>325742.89</v>
      </c>
      <c r="H197" s="51">
        <v>0</v>
      </c>
      <c r="I197" s="51">
        <v>0</v>
      </c>
      <c r="J197" s="51">
        <v>0</v>
      </c>
      <c r="K197" s="51">
        <v>325742.89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325742.89</v>
      </c>
      <c r="R197" s="51">
        <v>0</v>
      </c>
      <c r="S197" s="51">
        <v>0</v>
      </c>
      <c r="T197" s="51">
        <v>0</v>
      </c>
    </row>
    <row r="198" spans="1:20" ht="21.75">
      <c r="A198" s="48" t="s">
        <v>607</v>
      </c>
      <c r="B198" s="48" t="s">
        <v>304</v>
      </c>
      <c r="C198" s="51">
        <v>0</v>
      </c>
      <c r="D198" s="51">
        <v>0</v>
      </c>
      <c r="E198" s="51">
        <v>24015.67</v>
      </c>
      <c r="F198" s="51">
        <v>0</v>
      </c>
      <c r="G198" s="51">
        <v>24015.67</v>
      </c>
      <c r="H198" s="51">
        <v>0</v>
      </c>
      <c r="I198" s="51">
        <v>0</v>
      </c>
      <c r="J198" s="51">
        <v>0</v>
      </c>
      <c r="K198" s="51">
        <v>24015.67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24015.67</v>
      </c>
      <c r="R198" s="51">
        <v>0</v>
      </c>
      <c r="S198" s="51">
        <v>0</v>
      </c>
      <c r="T198" s="51">
        <v>0</v>
      </c>
    </row>
    <row r="199" spans="1:20" ht="21.75">
      <c r="A199" s="48" t="s">
        <v>608</v>
      </c>
      <c r="B199" s="48" t="s">
        <v>357</v>
      </c>
      <c r="C199" s="51">
        <v>0</v>
      </c>
      <c r="D199" s="51">
        <v>0</v>
      </c>
      <c r="E199" s="51">
        <f>35470.69+348.71</f>
        <v>35819.4</v>
      </c>
      <c r="F199" s="51">
        <v>0.09</v>
      </c>
      <c r="G199" s="51">
        <f>E199-F199</f>
        <v>35819.310000000005</v>
      </c>
      <c r="H199" s="51">
        <v>0</v>
      </c>
      <c r="I199" s="51"/>
      <c r="J199" s="51">
        <v>0</v>
      </c>
      <c r="K199" s="51">
        <f>G199+I199</f>
        <v>35819.310000000005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f>K199</f>
        <v>35819.310000000005</v>
      </c>
      <c r="R199" s="51">
        <v>0</v>
      </c>
      <c r="S199" s="51">
        <v>0</v>
      </c>
      <c r="T199" s="51">
        <v>0</v>
      </c>
    </row>
    <row r="200" spans="1:20" ht="21.75">
      <c r="A200" s="48" t="s">
        <v>609</v>
      </c>
      <c r="B200" s="48" t="s">
        <v>429</v>
      </c>
      <c r="C200" s="51">
        <v>0</v>
      </c>
      <c r="D200" s="51">
        <v>0</v>
      </c>
      <c r="E200" s="51">
        <v>100020</v>
      </c>
      <c r="F200" s="51">
        <v>0</v>
      </c>
      <c r="G200" s="51">
        <v>100020</v>
      </c>
      <c r="H200" s="51">
        <v>0</v>
      </c>
      <c r="I200" s="51">
        <v>0</v>
      </c>
      <c r="J200" s="51">
        <v>0</v>
      </c>
      <c r="K200" s="51">
        <v>100020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100020</v>
      </c>
      <c r="R200" s="51">
        <v>0</v>
      </c>
      <c r="S200" s="51">
        <v>0</v>
      </c>
      <c r="T200" s="51">
        <v>0</v>
      </c>
    </row>
    <row r="201" spans="1:20" ht="21.75">
      <c r="A201" s="48" t="s">
        <v>610</v>
      </c>
      <c r="B201" s="48" t="s">
        <v>611</v>
      </c>
      <c r="C201" s="51">
        <v>0</v>
      </c>
      <c r="D201" s="51">
        <v>0</v>
      </c>
      <c r="E201" s="51">
        <v>18297</v>
      </c>
      <c r="F201" s="51">
        <v>0</v>
      </c>
      <c r="G201" s="51">
        <v>18297</v>
      </c>
      <c r="H201" s="51">
        <v>0</v>
      </c>
      <c r="I201" s="51">
        <v>0</v>
      </c>
      <c r="J201" s="51">
        <v>0</v>
      </c>
      <c r="K201" s="51">
        <v>18297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18297</v>
      </c>
      <c r="R201" s="51">
        <v>0</v>
      </c>
      <c r="S201" s="51">
        <v>0</v>
      </c>
      <c r="T201" s="51">
        <v>0</v>
      </c>
    </row>
    <row r="202" spans="1:20" ht="21.75">
      <c r="A202" s="48" t="s">
        <v>612</v>
      </c>
      <c r="B202" s="48" t="s">
        <v>332</v>
      </c>
      <c r="C202" s="51">
        <v>0</v>
      </c>
      <c r="D202" s="51">
        <v>0</v>
      </c>
      <c r="E202" s="51">
        <v>727900.39</v>
      </c>
      <c r="F202" s="51">
        <v>0</v>
      </c>
      <c r="G202" s="51">
        <f>E202</f>
        <v>727900.39</v>
      </c>
      <c r="H202" s="51">
        <v>0</v>
      </c>
      <c r="I202" s="51">
        <v>0</v>
      </c>
      <c r="J202" s="51">
        <v>0</v>
      </c>
      <c r="K202" s="51">
        <v>727900.39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727900.39</v>
      </c>
      <c r="R202" s="51">
        <v>0</v>
      </c>
      <c r="S202" s="51">
        <v>0</v>
      </c>
      <c r="T202" s="51">
        <v>0</v>
      </c>
    </row>
    <row r="203" spans="1:20" ht="21.75">
      <c r="A203" s="48" t="s">
        <v>613</v>
      </c>
      <c r="B203" s="48" t="s">
        <v>614</v>
      </c>
      <c r="C203" s="51">
        <v>0</v>
      </c>
      <c r="D203" s="51">
        <v>0</v>
      </c>
      <c r="E203" s="51">
        <v>52000</v>
      </c>
      <c r="F203" s="51">
        <v>0</v>
      </c>
      <c r="G203" s="51">
        <f>E203</f>
        <v>52000</v>
      </c>
      <c r="H203" s="51">
        <v>0</v>
      </c>
      <c r="I203" s="51">
        <v>0</v>
      </c>
      <c r="J203" s="51">
        <v>0</v>
      </c>
      <c r="K203" s="51">
        <v>52000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52000</v>
      </c>
      <c r="R203" s="51">
        <v>0</v>
      </c>
      <c r="S203" s="51">
        <v>0</v>
      </c>
      <c r="T203" s="51">
        <v>0</v>
      </c>
    </row>
    <row r="204" spans="1:20" ht="21.75">
      <c r="A204" s="48" t="s">
        <v>615</v>
      </c>
      <c r="B204" s="48" t="s">
        <v>616</v>
      </c>
      <c r="C204" s="51">
        <v>0</v>
      </c>
      <c r="D204" s="51">
        <v>0</v>
      </c>
      <c r="E204" s="51">
        <v>18064.44</v>
      </c>
      <c r="F204" s="51">
        <v>0</v>
      </c>
      <c r="G204" s="51">
        <f>E204</f>
        <v>18064.44</v>
      </c>
      <c r="H204" s="51">
        <v>0</v>
      </c>
      <c r="I204" s="51">
        <v>0</v>
      </c>
      <c r="J204" s="51">
        <v>0</v>
      </c>
      <c r="K204" s="51">
        <v>18064.44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18064.44</v>
      </c>
      <c r="R204" s="51">
        <v>0</v>
      </c>
      <c r="S204" s="51">
        <v>0</v>
      </c>
      <c r="T204" s="51">
        <v>0</v>
      </c>
    </row>
    <row r="205" spans="1:20" ht="21.75">
      <c r="A205" s="48" t="s">
        <v>617</v>
      </c>
      <c r="B205" s="48" t="s">
        <v>618</v>
      </c>
      <c r="C205" s="51">
        <v>0</v>
      </c>
      <c r="D205" s="51">
        <v>0</v>
      </c>
      <c r="E205" s="51">
        <v>21536.76</v>
      </c>
      <c r="F205" s="51">
        <v>0</v>
      </c>
      <c r="G205" s="51">
        <f>E205</f>
        <v>21536.76</v>
      </c>
      <c r="H205" s="51">
        <v>0</v>
      </c>
      <c r="I205" s="51">
        <v>0</v>
      </c>
      <c r="J205" s="51">
        <v>0</v>
      </c>
      <c r="K205" s="51">
        <v>21536.76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21536.76</v>
      </c>
      <c r="R205" s="51">
        <v>0</v>
      </c>
      <c r="S205" s="51">
        <v>0</v>
      </c>
      <c r="T205" s="51">
        <v>0</v>
      </c>
    </row>
    <row r="206" spans="1:20" ht="21.75">
      <c r="A206" s="48" t="s">
        <v>808</v>
      </c>
      <c r="B206" s="48" t="s">
        <v>809</v>
      </c>
      <c r="C206" s="51">
        <v>0</v>
      </c>
      <c r="D206" s="51">
        <v>0</v>
      </c>
      <c r="E206" s="51">
        <v>16000</v>
      </c>
      <c r="F206" s="51">
        <v>0</v>
      </c>
      <c r="G206" s="51">
        <f>E206</f>
        <v>16000</v>
      </c>
      <c r="H206" s="51">
        <v>0</v>
      </c>
      <c r="I206" s="51">
        <v>0</v>
      </c>
      <c r="J206" s="51">
        <v>0</v>
      </c>
      <c r="K206" s="51">
        <v>16000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16000</v>
      </c>
      <c r="R206" s="51">
        <v>0</v>
      </c>
      <c r="S206" s="51">
        <v>0</v>
      </c>
      <c r="T206" s="51">
        <v>0</v>
      </c>
    </row>
    <row r="207" spans="1:20" ht="21.75">
      <c r="A207" s="48" t="s">
        <v>619</v>
      </c>
      <c r="B207" s="48" t="s">
        <v>620</v>
      </c>
      <c r="C207" s="51">
        <v>0</v>
      </c>
      <c r="D207" s="51">
        <v>0</v>
      </c>
      <c r="E207" s="51">
        <v>77023953</v>
      </c>
      <c r="F207" s="51">
        <v>0</v>
      </c>
      <c r="G207" s="51">
        <v>77023953</v>
      </c>
      <c r="H207" s="51">
        <v>0</v>
      </c>
      <c r="I207" s="51">
        <v>0</v>
      </c>
      <c r="J207" s="51">
        <v>0</v>
      </c>
      <c r="K207" s="51">
        <v>77023953</v>
      </c>
      <c r="L207" s="51">
        <v>0</v>
      </c>
      <c r="M207" s="51">
        <v>0</v>
      </c>
      <c r="N207" s="51">
        <v>0</v>
      </c>
      <c r="O207" s="51">
        <v>77023953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</row>
    <row r="208" spans="1:20" ht="21.75">
      <c r="A208" s="48" t="s">
        <v>621</v>
      </c>
      <c r="B208" s="48" t="s">
        <v>305</v>
      </c>
      <c r="C208" s="51">
        <v>0</v>
      </c>
      <c r="D208" s="51">
        <v>0</v>
      </c>
      <c r="E208" s="51">
        <v>68714.88</v>
      </c>
      <c r="F208" s="51">
        <v>0</v>
      </c>
      <c r="G208" s="51">
        <v>68714.88</v>
      </c>
      <c r="H208" s="51">
        <v>0</v>
      </c>
      <c r="I208" s="51">
        <v>0</v>
      </c>
      <c r="J208" s="51">
        <v>0</v>
      </c>
      <c r="K208" s="51">
        <v>68714.88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68714.88</v>
      </c>
      <c r="R208" s="51">
        <v>0</v>
      </c>
      <c r="S208" s="51">
        <v>0</v>
      </c>
      <c r="T208" s="51">
        <v>0</v>
      </c>
    </row>
    <row r="209" spans="1:20" s="57" customFormat="1" ht="21.75">
      <c r="A209" s="55" t="s">
        <v>622</v>
      </c>
      <c r="B209" s="55" t="s">
        <v>623</v>
      </c>
      <c r="C209" s="56">
        <v>0</v>
      </c>
      <c r="D209" s="56">
        <v>0</v>
      </c>
      <c r="E209" s="56">
        <v>651.9</v>
      </c>
      <c r="F209" s="56">
        <v>0</v>
      </c>
      <c r="G209" s="56">
        <v>651.9</v>
      </c>
      <c r="H209" s="56">
        <v>0</v>
      </c>
      <c r="I209" s="56">
        <v>0</v>
      </c>
      <c r="J209" s="56">
        <v>0</v>
      </c>
      <c r="K209" s="56">
        <v>651.9</v>
      </c>
      <c r="L209" s="56">
        <v>0</v>
      </c>
      <c r="M209" s="56">
        <v>0</v>
      </c>
      <c r="N209" s="56">
        <v>0</v>
      </c>
      <c r="O209" s="56">
        <v>0</v>
      </c>
      <c r="P209" s="56">
        <v>0</v>
      </c>
      <c r="Q209" s="56">
        <v>651.9</v>
      </c>
      <c r="R209" s="56">
        <v>0</v>
      </c>
      <c r="S209" s="56">
        <v>0</v>
      </c>
      <c r="T209" s="56">
        <v>0</v>
      </c>
    </row>
    <row r="210" spans="1:20" ht="21.75">
      <c r="A210" s="54" t="s">
        <v>680</v>
      </c>
      <c r="B210" s="54" t="s">
        <v>297</v>
      </c>
      <c r="C210" s="53">
        <v>0</v>
      </c>
      <c r="D210" s="53">
        <v>0</v>
      </c>
      <c r="E210" s="53">
        <v>17671.23</v>
      </c>
      <c r="F210" s="53">
        <v>0</v>
      </c>
      <c r="G210" s="53">
        <f>E210</f>
        <v>17671.23</v>
      </c>
      <c r="H210" s="53">
        <v>0</v>
      </c>
      <c r="I210" s="53">
        <v>0</v>
      </c>
      <c r="J210" s="53">
        <v>0</v>
      </c>
      <c r="K210" s="53">
        <v>17671.23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17671.23</v>
      </c>
      <c r="R210" s="53">
        <v>0</v>
      </c>
      <c r="S210" s="53">
        <v>0</v>
      </c>
      <c r="T210" s="53">
        <v>0</v>
      </c>
    </row>
    <row r="211" spans="1:20" ht="21.75">
      <c r="A211" s="48" t="s">
        <v>624</v>
      </c>
      <c r="B211" s="48" t="s">
        <v>355</v>
      </c>
      <c r="C211" s="51">
        <v>0</v>
      </c>
      <c r="D211" s="51">
        <v>0</v>
      </c>
      <c r="E211" s="51">
        <v>116096.51</v>
      </c>
      <c r="F211" s="51">
        <v>651.9</v>
      </c>
      <c r="G211" s="51">
        <v>115444.61</v>
      </c>
      <c r="H211" s="51">
        <v>0</v>
      </c>
      <c r="I211" s="51">
        <v>0</v>
      </c>
      <c r="J211" s="51">
        <v>0</v>
      </c>
      <c r="K211" s="51">
        <v>115444.61</v>
      </c>
      <c r="L211" s="51">
        <v>0</v>
      </c>
      <c r="M211" s="51">
        <v>115444.61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</row>
    <row r="212" spans="1:20" ht="21.75">
      <c r="A212" s="48" t="s">
        <v>625</v>
      </c>
      <c r="B212" s="48" t="s">
        <v>356</v>
      </c>
      <c r="C212" s="51">
        <v>0</v>
      </c>
      <c r="D212" s="51">
        <v>0</v>
      </c>
      <c r="E212" s="51">
        <v>62598.17</v>
      </c>
      <c r="F212" s="51">
        <v>1643.92</v>
      </c>
      <c r="G212" s="51">
        <v>60954.25</v>
      </c>
      <c r="H212" s="51">
        <v>0</v>
      </c>
      <c r="I212" s="51">
        <v>0</v>
      </c>
      <c r="J212" s="51">
        <v>0</v>
      </c>
      <c r="K212" s="51">
        <v>60954.25</v>
      </c>
      <c r="L212" s="51">
        <v>0</v>
      </c>
      <c r="M212" s="51">
        <v>60954.25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</row>
    <row r="213" spans="1:20" ht="21.75">
      <c r="A213" s="48" t="s">
        <v>626</v>
      </c>
      <c r="B213" s="48" t="s">
        <v>430</v>
      </c>
      <c r="C213" s="51">
        <v>0</v>
      </c>
      <c r="D213" s="51">
        <v>0</v>
      </c>
      <c r="E213" s="51">
        <v>2033</v>
      </c>
      <c r="F213" s="51">
        <v>0</v>
      </c>
      <c r="G213" s="51">
        <v>2033</v>
      </c>
      <c r="H213" s="51">
        <v>0</v>
      </c>
      <c r="I213" s="51">
        <v>0</v>
      </c>
      <c r="J213" s="51">
        <v>0</v>
      </c>
      <c r="K213" s="51">
        <v>2033</v>
      </c>
      <c r="L213" s="51">
        <v>0</v>
      </c>
      <c r="M213" s="51"/>
      <c r="N213" s="51">
        <v>0</v>
      </c>
      <c r="O213" s="51">
        <f>K213</f>
        <v>2033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</row>
    <row r="214" spans="1:20" ht="21.75">
      <c r="A214" s="48" t="s">
        <v>627</v>
      </c>
      <c r="B214" s="48" t="s">
        <v>628</v>
      </c>
      <c r="C214" s="51">
        <v>0</v>
      </c>
      <c r="D214" s="51">
        <v>0</v>
      </c>
      <c r="E214" s="51">
        <v>218700</v>
      </c>
      <c r="F214" s="51">
        <v>0</v>
      </c>
      <c r="G214" s="51">
        <v>218700</v>
      </c>
      <c r="H214" s="51">
        <v>0</v>
      </c>
      <c r="I214" s="51">
        <v>0</v>
      </c>
      <c r="J214" s="51">
        <v>0</v>
      </c>
      <c r="K214" s="51">
        <v>218700</v>
      </c>
      <c r="L214" s="51">
        <v>0</v>
      </c>
      <c r="M214" s="51">
        <v>218700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</row>
    <row r="215" spans="1:20" ht="21.75">
      <c r="A215" s="48" t="s">
        <v>629</v>
      </c>
      <c r="B215" s="48" t="s">
        <v>630</v>
      </c>
      <c r="C215" s="51">
        <v>0</v>
      </c>
      <c r="D215" s="51">
        <v>0</v>
      </c>
      <c r="E215" s="51">
        <v>79285</v>
      </c>
      <c r="F215" s="51">
        <f>905.5+31137</f>
        <v>32042.5</v>
      </c>
      <c r="G215" s="51">
        <f>E215-F215</f>
        <v>47242.5</v>
      </c>
      <c r="H215" s="51">
        <v>0</v>
      </c>
      <c r="I215" s="51">
        <v>0</v>
      </c>
      <c r="J215" s="51">
        <v>0</v>
      </c>
      <c r="K215" s="51">
        <f>G215-J215</f>
        <v>47242.5</v>
      </c>
      <c r="L215" s="51">
        <v>0</v>
      </c>
      <c r="M215" s="51">
        <f>K215</f>
        <v>47242.5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</row>
    <row r="216" spans="1:20" ht="21.75">
      <c r="A216" s="48" t="s">
        <v>631</v>
      </c>
      <c r="B216" s="48" t="s">
        <v>632</v>
      </c>
      <c r="C216" s="51">
        <v>0</v>
      </c>
      <c r="D216" s="51">
        <v>0</v>
      </c>
      <c r="E216" s="51">
        <v>121694.59</v>
      </c>
      <c r="F216" s="51">
        <v>9000</v>
      </c>
      <c r="G216" s="51">
        <v>112694.59</v>
      </c>
      <c r="H216" s="51">
        <v>0</v>
      </c>
      <c r="I216" s="51">
        <v>0</v>
      </c>
      <c r="J216" s="51">
        <v>0</v>
      </c>
      <c r="K216" s="51">
        <v>112694.59</v>
      </c>
      <c r="L216" s="51">
        <v>0</v>
      </c>
      <c r="M216" s="51">
        <v>112694.59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</row>
    <row r="217" spans="1:20" ht="21.75">
      <c r="A217" s="48" t="s">
        <v>633</v>
      </c>
      <c r="B217" s="48" t="s">
        <v>358</v>
      </c>
      <c r="C217" s="51">
        <v>0</v>
      </c>
      <c r="D217" s="51">
        <v>0</v>
      </c>
      <c r="E217" s="51">
        <v>14400</v>
      </c>
      <c r="F217" s="51">
        <v>0</v>
      </c>
      <c r="G217" s="51">
        <f>E217</f>
        <v>14400</v>
      </c>
      <c r="H217" s="51">
        <v>0</v>
      </c>
      <c r="I217" s="51">
        <v>0</v>
      </c>
      <c r="J217" s="51">
        <v>0</v>
      </c>
      <c r="K217" s="51">
        <v>14400</v>
      </c>
      <c r="L217" s="51">
        <v>0</v>
      </c>
      <c r="M217" s="51">
        <v>14400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</row>
    <row r="218" spans="1:20" ht="21.75">
      <c r="A218" s="48" t="s">
        <v>634</v>
      </c>
      <c r="B218" s="48" t="s">
        <v>635</v>
      </c>
      <c r="C218" s="51">
        <v>0</v>
      </c>
      <c r="D218" s="51">
        <v>0</v>
      </c>
      <c r="E218" s="51">
        <v>140418.58</v>
      </c>
      <c r="F218" s="51">
        <v>0</v>
      </c>
      <c r="G218" s="51">
        <f>E218</f>
        <v>140418.58</v>
      </c>
      <c r="H218" s="51">
        <v>0</v>
      </c>
      <c r="I218" s="51">
        <v>0</v>
      </c>
      <c r="J218" s="51">
        <v>0</v>
      </c>
      <c r="K218" s="51">
        <v>140418.58</v>
      </c>
      <c r="L218" s="51">
        <v>0</v>
      </c>
      <c r="M218" s="51">
        <v>63345.16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</row>
    <row r="219" spans="1:20" ht="21.75">
      <c r="A219" s="48" t="s">
        <v>636</v>
      </c>
      <c r="B219" s="48" t="s">
        <v>637</v>
      </c>
      <c r="C219" s="51">
        <v>0</v>
      </c>
      <c r="D219" s="51">
        <v>0</v>
      </c>
      <c r="E219" s="51">
        <v>273000</v>
      </c>
      <c r="F219" s="51">
        <v>0</v>
      </c>
      <c r="G219" s="51">
        <f>E219</f>
        <v>273000</v>
      </c>
      <c r="H219" s="51">
        <v>0</v>
      </c>
      <c r="I219" s="51">
        <v>0</v>
      </c>
      <c r="J219" s="51">
        <v>0</v>
      </c>
      <c r="K219" s="51">
        <v>273000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273000</v>
      </c>
      <c r="R219" s="51">
        <v>0</v>
      </c>
      <c r="S219" s="51">
        <v>0</v>
      </c>
      <c r="T219" s="51">
        <v>0</v>
      </c>
    </row>
    <row r="220" spans="1:20" ht="21.75">
      <c r="A220" s="48" t="s">
        <v>638</v>
      </c>
      <c r="B220" s="48" t="s">
        <v>305</v>
      </c>
      <c r="C220" s="51">
        <v>0</v>
      </c>
      <c r="D220" s="51">
        <v>0</v>
      </c>
      <c r="E220" s="51">
        <v>2000</v>
      </c>
      <c r="F220" s="51">
        <v>2000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</row>
    <row r="221" spans="1:20" ht="21.75">
      <c r="A221" s="48" t="s">
        <v>681</v>
      </c>
      <c r="B221" s="48" t="s">
        <v>810</v>
      </c>
      <c r="C221" s="51">
        <v>0</v>
      </c>
      <c r="D221" s="51">
        <v>0</v>
      </c>
      <c r="E221" s="51">
        <v>2400</v>
      </c>
      <c r="F221" s="51">
        <v>300</v>
      </c>
      <c r="G221" s="51">
        <v>2100</v>
      </c>
      <c r="H221" s="51">
        <v>0</v>
      </c>
      <c r="I221" s="51">
        <v>0</v>
      </c>
      <c r="J221" s="51">
        <v>0</v>
      </c>
      <c r="K221" s="51">
        <v>2100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2100</v>
      </c>
      <c r="R221" s="51">
        <v>0</v>
      </c>
      <c r="S221" s="51">
        <v>0</v>
      </c>
      <c r="T221" s="51">
        <v>0</v>
      </c>
    </row>
    <row r="222" spans="1:20" ht="21.75">
      <c r="A222" s="48" t="s">
        <v>306</v>
      </c>
      <c r="B222" s="48" t="s">
        <v>307</v>
      </c>
      <c r="C222" s="51">
        <v>0</v>
      </c>
      <c r="D222" s="51">
        <v>0</v>
      </c>
      <c r="E222" s="51">
        <v>2505960</v>
      </c>
      <c r="F222" s="51">
        <v>0</v>
      </c>
      <c r="G222" s="51">
        <v>2505960</v>
      </c>
      <c r="H222" s="51">
        <v>0</v>
      </c>
      <c r="I222" s="51">
        <v>0</v>
      </c>
      <c r="J222" s="51">
        <v>0</v>
      </c>
      <c r="K222" s="51">
        <v>2505960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2505960</v>
      </c>
      <c r="R222" s="51">
        <v>0</v>
      </c>
      <c r="S222" s="51">
        <v>0</v>
      </c>
      <c r="T222" s="51">
        <v>0</v>
      </c>
    </row>
    <row r="223" spans="1:20" ht="21.75">
      <c r="A223" s="48" t="s">
        <v>308</v>
      </c>
      <c r="B223" s="48" t="s">
        <v>639</v>
      </c>
      <c r="C223" s="51">
        <v>0</v>
      </c>
      <c r="D223" s="51">
        <v>0</v>
      </c>
      <c r="E223" s="51">
        <v>128650</v>
      </c>
      <c r="F223" s="51">
        <v>0</v>
      </c>
      <c r="G223" s="51">
        <v>128650</v>
      </c>
      <c r="H223" s="51">
        <v>0</v>
      </c>
      <c r="I223" s="51">
        <v>0</v>
      </c>
      <c r="J223" s="51">
        <v>0</v>
      </c>
      <c r="K223" s="51">
        <v>128650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128650</v>
      </c>
      <c r="R223" s="51">
        <v>0</v>
      </c>
      <c r="S223" s="51">
        <v>0</v>
      </c>
      <c r="T223" s="51">
        <v>0</v>
      </c>
    </row>
    <row r="224" spans="1:20" ht="21.75">
      <c r="A224" s="48" t="s">
        <v>309</v>
      </c>
      <c r="B224" s="48" t="s">
        <v>640</v>
      </c>
      <c r="C224" s="51">
        <v>0</v>
      </c>
      <c r="D224" s="51">
        <v>0</v>
      </c>
      <c r="E224" s="51">
        <v>9150</v>
      </c>
      <c r="F224" s="51">
        <v>0</v>
      </c>
      <c r="G224" s="51">
        <v>9150</v>
      </c>
      <c r="H224" s="51">
        <v>0</v>
      </c>
      <c r="I224" s="51">
        <v>0</v>
      </c>
      <c r="J224" s="51">
        <v>0</v>
      </c>
      <c r="K224" s="51">
        <v>9150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9150</v>
      </c>
      <c r="R224" s="51">
        <v>0</v>
      </c>
      <c r="S224" s="51">
        <v>0</v>
      </c>
      <c r="T224" s="51">
        <v>0</v>
      </c>
    </row>
    <row r="225" spans="1:20" ht="21.75">
      <c r="A225" s="48" t="s">
        <v>310</v>
      </c>
      <c r="B225" s="48" t="s">
        <v>311</v>
      </c>
      <c r="C225" s="51">
        <v>0</v>
      </c>
      <c r="D225" s="51">
        <v>0</v>
      </c>
      <c r="E225" s="51">
        <v>103500</v>
      </c>
      <c r="F225" s="51">
        <v>0</v>
      </c>
      <c r="G225" s="51">
        <v>103500</v>
      </c>
      <c r="H225" s="51">
        <v>0</v>
      </c>
      <c r="I225" s="51">
        <v>0</v>
      </c>
      <c r="J225" s="51">
        <v>0</v>
      </c>
      <c r="K225" s="51">
        <v>103500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103500</v>
      </c>
      <c r="R225" s="51">
        <v>0</v>
      </c>
      <c r="S225" s="51">
        <v>0</v>
      </c>
      <c r="T225" s="51">
        <v>0</v>
      </c>
    </row>
    <row r="226" spans="1:20" ht="21.75">
      <c r="A226" s="48" t="s">
        <v>641</v>
      </c>
      <c r="B226" s="48" t="s">
        <v>642</v>
      </c>
      <c r="C226" s="51">
        <v>0</v>
      </c>
      <c r="D226" s="51">
        <v>0</v>
      </c>
      <c r="E226" s="51">
        <v>533630</v>
      </c>
      <c r="F226" s="51">
        <v>0</v>
      </c>
      <c r="G226" s="51">
        <f>E226</f>
        <v>533630</v>
      </c>
      <c r="H226" s="51">
        <v>0</v>
      </c>
      <c r="I226" s="51">
        <v>0</v>
      </c>
      <c r="J226" s="51">
        <v>0</v>
      </c>
      <c r="K226" s="51">
        <v>533630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533630</v>
      </c>
      <c r="R226" s="51">
        <v>0</v>
      </c>
      <c r="S226" s="51">
        <v>0</v>
      </c>
      <c r="T226" s="51">
        <v>0</v>
      </c>
    </row>
    <row r="227" spans="1:20" ht="21.75">
      <c r="A227" s="48" t="s">
        <v>643</v>
      </c>
      <c r="B227" s="48" t="s">
        <v>43</v>
      </c>
      <c r="C227" s="51">
        <v>0</v>
      </c>
      <c r="D227" s="51">
        <v>0</v>
      </c>
      <c r="E227" s="51">
        <v>47557.15</v>
      </c>
      <c r="F227" s="51">
        <v>0</v>
      </c>
      <c r="G227" s="51">
        <f>E227</f>
        <v>47557.15</v>
      </c>
      <c r="H227" s="51">
        <v>0</v>
      </c>
      <c r="I227" s="51">
        <v>0</v>
      </c>
      <c r="J227" s="51">
        <v>0</v>
      </c>
      <c r="K227" s="51">
        <v>47557.15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47557.15</v>
      </c>
      <c r="R227" s="51">
        <v>0</v>
      </c>
      <c r="S227" s="51">
        <v>0</v>
      </c>
      <c r="T227" s="51">
        <v>0</v>
      </c>
    </row>
    <row r="228" spans="1:20" ht="21.75">
      <c r="A228" s="48" t="s">
        <v>312</v>
      </c>
      <c r="B228" s="48" t="s">
        <v>101</v>
      </c>
      <c r="C228" s="51">
        <v>0</v>
      </c>
      <c r="D228" s="51">
        <v>0</v>
      </c>
      <c r="E228" s="51">
        <f>1836596.47+2132525.98</f>
        <v>3969122.45</v>
      </c>
      <c r="F228" s="51">
        <v>0</v>
      </c>
      <c r="G228" s="51">
        <f>E228</f>
        <v>3969122.45</v>
      </c>
      <c r="H228" s="51">
        <v>0</v>
      </c>
      <c r="I228" s="51">
        <v>0</v>
      </c>
      <c r="J228" s="51">
        <v>0</v>
      </c>
      <c r="K228" s="51">
        <v>3969122.45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3969122.45</v>
      </c>
      <c r="R228" s="51">
        <v>0</v>
      </c>
      <c r="S228" s="51">
        <v>0</v>
      </c>
      <c r="T228" s="51">
        <v>0</v>
      </c>
    </row>
    <row r="229" spans="1:20" ht="21.75">
      <c r="A229" s="48" t="s">
        <v>313</v>
      </c>
      <c r="B229" s="48" t="s">
        <v>175</v>
      </c>
      <c r="C229" s="51">
        <v>0</v>
      </c>
      <c r="D229" s="51">
        <v>0</v>
      </c>
      <c r="E229" s="51">
        <v>123932</v>
      </c>
      <c r="F229" s="51">
        <v>0</v>
      </c>
      <c r="G229" s="51">
        <v>123932</v>
      </c>
      <c r="H229" s="51">
        <v>0</v>
      </c>
      <c r="I229" s="51">
        <v>0</v>
      </c>
      <c r="J229" s="51">
        <v>0</v>
      </c>
      <c r="K229" s="51">
        <v>123932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123932</v>
      </c>
      <c r="R229" s="51">
        <v>0</v>
      </c>
      <c r="S229" s="51">
        <v>0</v>
      </c>
      <c r="T229" s="51">
        <v>0</v>
      </c>
    </row>
    <row r="230" spans="1:20" ht="21.75">
      <c r="A230" s="48" t="s">
        <v>314</v>
      </c>
      <c r="B230" s="48" t="s">
        <v>431</v>
      </c>
      <c r="C230" s="51">
        <v>0</v>
      </c>
      <c r="D230" s="51">
        <v>0</v>
      </c>
      <c r="E230" s="51">
        <v>36872.31</v>
      </c>
      <c r="F230" s="51">
        <v>1030</v>
      </c>
      <c r="G230" s="51">
        <v>35842.31</v>
      </c>
      <c r="H230" s="51">
        <v>0</v>
      </c>
      <c r="I230" s="51">
        <v>0</v>
      </c>
      <c r="J230" s="51">
        <v>0</v>
      </c>
      <c r="K230" s="51">
        <v>35842.31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35842.31</v>
      </c>
      <c r="R230" s="51">
        <v>0</v>
      </c>
      <c r="S230" s="51">
        <v>0</v>
      </c>
      <c r="T230" s="51">
        <v>0</v>
      </c>
    </row>
    <row r="231" spans="1:20" ht="21.75">
      <c r="A231" s="48" t="s">
        <v>315</v>
      </c>
      <c r="B231" s="48" t="s">
        <v>62</v>
      </c>
      <c r="C231" s="51">
        <v>0</v>
      </c>
      <c r="D231" s="51">
        <v>0</v>
      </c>
      <c r="E231" s="51">
        <v>70147</v>
      </c>
      <c r="F231" s="51">
        <v>0</v>
      </c>
      <c r="G231" s="51">
        <v>70147</v>
      </c>
      <c r="H231" s="51">
        <v>0</v>
      </c>
      <c r="I231" s="51">
        <v>0</v>
      </c>
      <c r="J231" s="51">
        <v>0</v>
      </c>
      <c r="K231" s="51">
        <v>70147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70147</v>
      </c>
      <c r="R231" s="51">
        <v>0</v>
      </c>
      <c r="S231" s="51">
        <v>0</v>
      </c>
      <c r="T231" s="51">
        <v>0</v>
      </c>
    </row>
    <row r="232" spans="1:20" s="57" customFormat="1" ht="21.75">
      <c r="A232" s="55" t="s">
        <v>316</v>
      </c>
      <c r="B232" s="55" t="s">
        <v>317</v>
      </c>
      <c r="C232" s="56">
        <v>0</v>
      </c>
      <c r="D232" s="56">
        <v>0</v>
      </c>
      <c r="E232" s="56">
        <v>444647.32</v>
      </c>
      <c r="F232" s="56">
        <f>86570+14400</f>
        <v>100970</v>
      </c>
      <c r="G232" s="56">
        <f>E232-F232</f>
        <v>343677.32</v>
      </c>
      <c r="H232" s="56">
        <v>0</v>
      </c>
      <c r="I232" s="56">
        <v>0</v>
      </c>
      <c r="J232" s="56">
        <v>0</v>
      </c>
      <c r="K232" s="56">
        <v>343677.32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  <c r="Q232" s="56">
        <v>343677.32</v>
      </c>
      <c r="R232" s="56">
        <v>0</v>
      </c>
      <c r="S232" s="56">
        <v>0</v>
      </c>
      <c r="T232" s="56">
        <v>0</v>
      </c>
    </row>
    <row r="233" spans="1:20" ht="21.75">
      <c r="A233" s="54" t="s">
        <v>318</v>
      </c>
      <c r="B233" s="54" t="s">
        <v>644</v>
      </c>
      <c r="C233" s="53">
        <v>0</v>
      </c>
      <c r="D233" s="53">
        <v>0</v>
      </c>
      <c r="E233" s="53">
        <v>131029.25</v>
      </c>
      <c r="F233" s="53">
        <v>2400</v>
      </c>
      <c r="G233" s="53">
        <v>128629.25</v>
      </c>
      <c r="H233" s="53">
        <v>0</v>
      </c>
      <c r="I233" s="53">
        <v>0</v>
      </c>
      <c r="J233" s="53">
        <v>0</v>
      </c>
      <c r="K233" s="53">
        <v>128629.25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128629.25</v>
      </c>
      <c r="R233" s="53">
        <v>0</v>
      </c>
      <c r="S233" s="53">
        <v>0</v>
      </c>
      <c r="T233" s="53">
        <v>0</v>
      </c>
    </row>
    <row r="234" spans="1:20" ht="21.75">
      <c r="A234" s="48" t="s">
        <v>319</v>
      </c>
      <c r="B234" s="48" t="s">
        <v>320</v>
      </c>
      <c r="C234" s="51">
        <v>0</v>
      </c>
      <c r="D234" s="51">
        <v>0</v>
      </c>
      <c r="E234" s="51">
        <v>52800</v>
      </c>
      <c r="F234" s="51">
        <v>52800</v>
      </c>
      <c r="G234" s="51">
        <f>E234-F234</f>
        <v>0</v>
      </c>
      <c r="H234" s="51">
        <v>0</v>
      </c>
      <c r="I234" s="51">
        <v>0</v>
      </c>
      <c r="J234" s="51">
        <v>0</v>
      </c>
      <c r="K234" s="51">
        <f>G234-J234</f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f>K234</f>
        <v>0</v>
      </c>
      <c r="R234" s="51">
        <v>0</v>
      </c>
      <c r="S234" s="51">
        <v>0</v>
      </c>
      <c r="T234" s="51">
        <v>0</v>
      </c>
    </row>
    <row r="235" spans="1:20" ht="21.75">
      <c r="A235" s="48" t="s">
        <v>321</v>
      </c>
      <c r="B235" s="48" t="s">
        <v>174</v>
      </c>
      <c r="C235" s="51">
        <v>0</v>
      </c>
      <c r="D235" s="51">
        <v>0</v>
      </c>
      <c r="E235" s="51">
        <v>51745</v>
      </c>
      <c r="F235" s="51">
        <v>0</v>
      </c>
      <c r="G235" s="51">
        <v>51745</v>
      </c>
      <c r="H235" s="51">
        <v>0</v>
      </c>
      <c r="I235" s="51">
        <v>0</v>
      </c>
      <c r="J235" s="51">
        <v>0</v>
      </c>
      <c r="K235" s="51">
        <v>51745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51745</v>
      </c>
      <c r="R235" s="51">
        <v>0</v>
      </c>
      <c r="S235" s="51">
        <v>0</v>
      </c>
      <c r="T235" s="51">
        <v>0</v>
      </c>
    </row>
    <row r="236" spans="1:20" ht="21.75">
      <c r="A236" s="48" t="s">
        <v>322</v>
      </c>
      <c r="B236" s="48" t="s">
        <v>645</v>
      </c>
      <c r="C236" s="51">
        <v>0</v>
      </c>
      <c r="D236" s="51">
        <v>0</v>
      </c>
      <c r="E236" s="51">
        <f>228585-6000</f>
        <v>222585</v>
      </c>
      <c r="F236" s="51">
        <v>14000</v>
      </c>
      <c r="G236" s="51">
        <f>E236-F236</f>
        <v>208585</v>
      </c>
      <c r="H236" s="51">
        <v>0</v>
      </c>
      <c r="I236" s="51">
        <v>0</v>
      </c>
      <c r="J236" s="51">
        <v>0</v>
      </c>
      <c r="K236" s="51">
        <f>G236</f>
        <v>208585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208585</v>
      </c>
      <c r="R236" s="51">
        <v>0</v>
      </c>
      <c r="S236" s="51">
        <v>0</v>
      </c>
      <c r="T236" s="51">
        <v>0</v>
      </c>
    </row>
    <row r="237" spans="1:20" ht="21.75">
      <c r="A237" s="48" t="s">
        <v>646</v>
      </c>
      <c r="B237" s="48" t="s">
        <v>177</v>
      </c>
      <c r="C237" s="51">
        <v>0</v>
      </c>
      <c r="D237" s="51">
        <v>0</v>
      </c>
      <c r="E237" s="51">
        <v>38169.5</v>
      </c>
      <c r="F237" s="51">
        <v>0</v>
      </c>
      <c r="G237" s="51">
        <v>38169.5</v>
      </c>
      <c r="H237" s="51">
        <v>0</v>
      </c>
      <c r="I237" s="51">
        <v>0</v>
      </c>
      <c r="J237" s="51">
        <v>0</v>
      </c>
      <c r="K237" s="51">
        <v>38169.5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38169.5</v>
      </c>
      <c r="R237" s="51">
        <v>0</v>
      </c>
      <c r="S237" s="51">
        <v>0</v>
      </c>
      <c r="T237" s="51">
        <v>0</v>
      </c>
    </row>
    <row r="238" spans="1:20" ht="21.75">
      <c r="A238" s="48" t="s">
        <v>323</v>
      </c>
      <c r="B238" s="48" t="s">
        <v>647</v>
      </c>
      <c r="C238" s="51">
        <v>0</v>
      </c>
      <c r="D238" s="51">
        <v>0</v>
      </c>
      <c r="E238" s="51">
        <v>1484882</v>
      </c>
      <c r="F238" s="51">
        <v>8000</v>
      </c>
      <c r="G238" s="51">
        <v>1476882</v>
      </c>
      <c r="H238" s="51">
        <v>0</v>
      </c>
      <c r="I238" s="51">
        <v>0</v>
      </c>
      <c r="J238" s="51">
        <v>0</v>
      </c>
      <c r="K238" s="51">
        <v>1476882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1476882</v>
      </c>
      <c r="R238" s="51">
        <v>0</v>
      </c>
      <c r="S238" s="51">
        <v>0</v>
      </c>
      <c r="T238" s="51">
        <v>0</v>
      </c>
    </row>
    <row r="239" spans="1:20" ht="21.75">
      <c r="A239" s="48" t="s">
        <v>648</v>
      </c>
      <c r="B239" s="48" t="s">
        <v>432</v>
      </c>
      <c r="C239" s="51">
        <v>0</v>
      </c>
      <c r="D239" s="51">
        <v>0</v>
      </c>
      <c r="E239" s="51">
        <v>2151</v>
      </c>
      <c r="F239" s="51">
        <v>0</v>
      </c>
      <c r="G239" s="51">
        <v>2151</v>
      </c>
      <c r="H239" s="51">
        <v>0</v>
      </c>
      <c r="I239" s="51">
        <v>0</v>
      </c>
      <c r="J239" s="51">
        <v>0</v>
      </c>
      <c r="K239" s="51">
        <v>2151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2151</v>
      </c>
      <c r="R239" s="51">
        <v>0</v>
      </c>
      <c r="S239" s="51">
        <v>0</v>
      </c>
      <c r="T239" s="51">
        <v>0</v>
      </c>
    </row>
    <row r="240" spans="1:20" ht="21.75">
      <c r="A240" s="48" t="s">
        <v>649</v>
      </c>
      <c r="B240" s="48" t="s">
        <v>112</v>
      </c>
      <c r="C240" s="51">
        <v>0</v>
      </c>
      <c r="D240" s="51">
        <v>0</v>
      </c>
      <c r="E240" s="51">
        <v>4200</v>
      </c>
      <c r="F240" s="51">
        <v>0</v>
      </c>
      <c r="G240" s="51">
        <v>4200</v>
      </c>
      <c r="H240" s="51">
        <v>0</v>
      </c>
      <c r="I240" s="51">
        <v>0</v>
      </c>
      <c r="J240" s="51">
        <v>0</v>
      </c>
      <c r="K240" s="51">
        <v>4200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4200</v>
      </c>
      <c r="R240" s="51">
        <v>0</v>
      </c>
      <c r="S240" s="51">
        <v>0</v>
      </c>
      <c r="T240" s="51">
        <v>0</v>
      </c>
    </row>
    <row r="241" spans="1:20" ht="21.75">
      <c r="A241" s="48" t="s">
        <v>324</v>
      </c>
      <c r="B241" s="48" t="s">
        <v>650</v>
      </c>
      <c r="C241" s="51">
        <v>0</v>
      </c>
      <c r="D241" s="51">
        <v>0</v>
      </c>
      <c r="E241" s="51">
        <v>128349.15</v>
      </c>
      <c r="F241" s="51">
        <v>1190</v>
      </c>
      <c r="G241" s="51">
        <v>127159.15</v>
      </c>
      <c r="H241" s="51">
        <v>0</v>
      </c>
      <c r="I241" s="51">
        <v>0</v>
      </c>
      <c r="J241" s="51">
        <v>0</v>
      </c>
      <c r="K241" s="51">
        <v>127159.15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127159.15</v>
      </c>
      <c r="R241" s="51">
        <v>0</v>
      </c>
      <c r="S241" s="51">
        <v>0</v>
      </c>
      <c r="T241" s="51">
        <v>0</v>
      </c>
    </row>
    <row r="242" spans="1:20" ht="21.75">
      <c r="A242" s="48" t="s">
        <v>326</v>
      </c>
      <c r="B242" s="48" t="s">
        <v>327</v>
      </c>
      <c r="C242" s="51">
        <v>0</v>
      </c>
      <c r="D242" s="51">
        <v>0</v>
      </c>
      <c r="E242" s="51">
        <f>56091.71+2233.19</f>
        <v>58324.9</v>
      </c>
      <c r="F242" s="51">
        <v>21536.76</v>
      </c>
      <c r="G242" s="51">
        <f>E242-F242</f>
        <v>36788.14</v>
      </c>
      <c r="H242" s="51">
        <v>0</v>
      </c>
      <c r="I242" s="51">
        <v>0</v>
      </c>
      <c r="J242" s="51">
        <v>0</v>
      </c>
      <c r="K242" s="51">
        <v>36788.14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36788.14</v>
      </c>
      <c r="R242" s="51">
        <v>0</v>
      </c>
      <c r="S242" s="51">
        <v>0</v>
      </c>
      <c r="T242" s="51">
        <v>0</v>
      </c>
    </row>
    <row r="243" spans="1:20" ht="21.75">
      <c r="A243" s="48" t="s">
        <v>328</v>
      </c>
      <c r="B243" s="48" t="s">
        <v>651</v>
      </c>
      <c r="C243" s="51">
        <v>0</v>
      </c>
      <c r="D243" s="51">
        <v>0</v>
      </c>
      <c r="E243" s="51">
        <v>224855</v>
      </c>
      <c r="F243" s="51">
        <v>0</v>
      </c>
      <c r="G243" s="51">
        <v>224855</v>
      </c>
      <c r="H243" s="51">
        <v>0</v>
      </c>
      <c r="I243" s="51">
        <v>0</v>
      </c>
      <c r="J243" s="51">
        <v>0</v>
      </c>
      <c r="K243" s="51">
        <v>224855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224855</v>
      </c>
      <c r="R243" s="51">
        <v>0</v>
      </c>
      <c r="S243" s="51">
        <v>0</v>
      </c>
      <c r="T243" s="51">
        <v>0</v>
      </c>
    </row>
    <row r="244" spans="1:20" ht="21.75">
      <c r="A244" s="48" t="s">
        <v>329</v>
      </c>
      <c r="B244" s="48" t="s">
        <v>113</v>
      </c>
      <c r="C244" s="51">
        <v>0</v>
      </c>
      <c r="D244" s="51">
        <v>0</v>
      </c>
      <c r="E244" s="51">
        <v>26650</v>
      </c>
      <c r="F244" s="51">
        <v>0</v>
      </c>
      <c r="G244" s="51">
        <v>26650</v>
      </c>
      <c r="H244" s="51">
        <v>0</v>
      </c>
      <c r="I244" s="51">
        <v>0</v>
      </c>
      <c r="J244" s="51">
        <v>0</v>
      </c>
      <c r="K244" s="51">
        <v>26650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26650</v>
      </c>
      <c r="R244" s="51">
        <v>0</v>
      </c>
      <c r="S244" s="51">
        <v>0</v>
      </c>
      <c r="T244" s="51">
        <v>0</v>
      </c>
    </row>
    <row r="245" spans="1:20" ht="21.75">
      <c r="A245" s="48" t="s">
        <v>330</v>
      </c>
      <c r="B245" s="48" t="s">
        <v>180</v>
      </c>
      <c r="C245" s="51">
        <v>0</v>
      </c>
      <c r="D245" s="51">
        <v>0</v>
      </c>
      <c r="E245" s="51">
        <v>12874</v>
      </c>
      <c r="F245" s="51">
        <v>0</v>
      </c>
      <c r="G245" s="51">
        <v>12874</v>
      </c>
      <c r="H245" s="51">
        <v>0</v>
      </c>
      <c r="I245" s="51">
        <v>0</v>
      </c>
      <c r="J245" s="51">
        <v>0</v>
      </c>
      <c r="K245" s="51">
        <v>12874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12874</v>
      </c>
      <c r="R245" s="51">
        <v>0</v>
      </c>
      <c r="S245" s="51">
        <v>0</v>
      </c>
      <c r="T245" s="51">
        <v>0</v>
      </c>
    </row>
    <row r="246" spans="1:20" ht="21.75">
      <c r="A246" s="48" t="s">
        <v>652</v>
      </c>
      <c r="B246" s="48" t="s">
        <v>183</v>
      </c>
      <c r="C246" s="51">
        <v>0</v>
      </c>
      <c r="D246" s="51">
        <v>0</v>
      </c>
      <c r="E246" s="51">
        <v>218067</v>
      </c>
      <c r="F246" s="51">
        <v>0</v>
      </c>
      <c r="G246" s="51">
        <v>218067</v>
      </c>
      <c r="H246" s="51">
        <v>0</v>
      </c>
      <c r="I246" s="51">
        <v>0</v>
      </c>
      <c r="J246" s="51">
        <v>0</v>
      </c>
      <c r="K246" s="51">
        <v>218067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218067</v>
      </c>
      <c r="R246" s="51">
        <v>0</v>
      </c>
      <c r="S246" s="51">
        <v>0</v>
      </c>
      <c r="T246" s="51">
        <v>0</v>
      </c>
    </row>
    <row r="247" spans="1:20" ht="21.75">
      <c r="A247" s="48" t="s">
        <v>811</v>
      </c>
      <c r="B247" s="48" t="s">
        <v>812</v>
      </c>
      <c r="C247" s="51">
        <v>0</v>
      </c>
      <c r="D247" s="51">
        <v>0</v>
      </c>
      <c r="E247" s="51">
        <v>20500</v>
      </c>
      <c r="F247" s="51">
        <v>0</v>
      </c>
      <c r="G247" s="51">
        <v>20500</v>
      </c>
      <c r="H247" s="51">
        <v>0</v>
      </c>
      <c r="I247" s="51">
        <v>0</v>
      </c>
      <c r="J247" s="51">
        <v>0</v>
      </c>
      <c r="K247" s="51">
        <v>20500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20500</v>
      </c>
      <c r="R247" s="51">
        <v>0</v>
      </c>
      <c r="S247" s="51">
        <v>0</v>
      </c>
      <c r="T247" s="51">
        <v>0</v>
      </c>
    </row>
    <row r="248" spans="1:20" ht="21.75">
      <c r="A248" s="48" t="s">
        <v>813</v>
      </c>
      <c r="B248" s="48" t="s">
        <v>814</v>
      </c>
      <c r="C248" s="51">
        <v>0</v>
      </c>
      <c r="D248" s="51">
        <v>0</v>
      </c>
      <c r="E248" s="51">
        <v>188353</v>
      </c>
      <c r="F248" s="51">
        <v>188353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</row>
    <row r="249" spans="1:20" ht="21.75">
      <c r="A249" s="48" t="s">
        <v>815</v>
      </c>
      <c r="B249" s="48" t="s">
        <v>345</v>
      </c>
      <c r="C249" s="51">
        <v>0</v>
      </c>
      <c r="D249" s="51">
        <v>0</v>
      </c>
      <c r="E249" s="51">
        <v>918283</v>
      </c>
      <c r="F249" s="51">
        <v>0</v>
      </c>
      <c r="G249" s="51">
        <f>E249</f>
        <v>918283</v>
      </c>
      <c r="H249" s="51">
        <v>0</v>
      </c>
      <c r="I249" s="51"/>
      <c r="J249" s="51">
        <v>0</v>
      </c>
      <c r="K249" s="51">
        <v>918283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918283</v>
      </c>
      <c r="R249" s="51">
        <v>0</v>
      </c>
      <c r="S249" s="51">
        <v>0</v>
      </c>
      <c r="T249" s="51">
        <v>0</v>
      </c>
    </row>
    <row r="250" spans="1:20" ht="21.75">
      <c r="A250" s="48" t="s">
        <v>816</v>
      </c>
      <c r="B250" s="48" t="s">
        <v>817</v>
      </c>
      <c r="C250" s="51">
        <v>0</v>
      </c>
      <c r="D250" s="51">
        <v>0</v>
      </c>
      <c r="E250" s="51">
        <v>146673.39</v>
      </c>
      <c r="F250" s="51">
        <v>0</v>
      </c>
      <c r="G250" s="51">
        <v>146673.39</v>
      </c>
      <c r="H250" s="51">
        <v>0</v>
      </c>
      <c r="I250" s="51">
        <v>0</v>
      </c>
      <c r="J250" s="51">
        <v>0</v>
      </c>
      <c r="K250" s="51">
        <v>146673.39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146673.39</v>
      </c>
      <c r="R250" s="51">
        <v>0</v>
      </c>
      <c r="S250" s="51">
        <v>0</v>
      </c>
      <c r="T250" s="51">
        <v>0</v>
      </c>
    </row>
    <row r="251" spans="1:20" ht="21.75">
      <c r="A251" s="48" t="s">
        <v>331</v>
      </c>
      <c r="B251" s="48" t="s">
        <v>332</v>
      </c>
      <c r="C251" s="51">
        <v>0</v>
      </c>
      <c r="D251" s="51">
        <v>0</v>
      </c>
      <c r="E251" s="51">
        <v>602666.15</v>
      </c>
      <c r="F251" s="51">
        <v>0</v>
      </c>
      <c r="G251" s="51">
        <f>E251</f>
        <v>602666.15</v>
      </c>
      <c r="H251" s="51">
        <v>0</v>
      </c>
      <c r="I251" s="51">
        <v>0</v>
      </c>
      <c r="J251" s="51">
        <v>0</v>
      </c>
      <c r="K251" s="51">
        <v>602666.15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602666.15</v>
      </c>
      <c r="R251" s="51">
        <v>0</v>
      </c>
      <c r="S251" s="51">
        <v>0</v>
      </c>
      <c r="T251" s="51">
        <v>0</v>
      </c>
    </row>
    <row r="252" spans="1:20" ht="21.75">
      <c r="A252" s="48" t="s">
        <v>653</v>
      </c>
      <c r="B252" s="48" t="s">
        <v>654</v>
      </c>
      <c r="C252" s="51">
        <v>0</v>
      </c>
      <c r="D252" s="51">
        <v>0</v>
      </c>
      <c r="E252" s="51">
        <v>49300</v>
      </c>
      <c r="F252" s="51">
        <v>0</v>
      </c>
      <c r="G252" s="51">
        <v>49300</v>
      </c>
      <c r="H252" s="51">
        <v>0</v>
      </c>
      <c r="I252" s="51">
        <v>0</v>
      </c>
      <c r="J252" s="51">
        <v>0</v>
      </c>
      <c r="K252" s="51">
        <v>49300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49300</v>
      </c>
      <c r="R252" s="51">
        <v>0</v>
      </c>
      <c r="S252" s="51">
        <v>0</v>
      </c>
      <c r="T252" s="51">
        <v>0</v>
      </c>
    </row>
    <row r="253" spans="1:20" ht="21.75">
      <c r="A253" s="48" t="s">
        <v>655</v>
      </c>
      <c r="B253" s="48" t="s">
        <v>325</v>
      </c>
      <c r="C253" s="51">
        <v>0</v>
      </c>
      <c r="D253" s="51">
        <v>0</v>
      </c>
      <c r="E253" s="51">
        <v>259955</v>
      </c>
      <c r="F253" s="51">
        <v>0</v>
      </c>
      <c r="G253" s="51">
        <v>259955</v>
      </c>
      <c r="H253" s="51">
        <v>0</v>
      </c>
      <c r="I253" s="51">
        <v>0</v>
      </c>
      <c r="J253" s="51">
        <v>0</v>
      </c>
      <c r="K253" s="51">
        <v>259955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259955</v>
      </c>
      <c r="R253" s="51">
        <v>0</v>
      </c>
      <c r="S253" s="51">
        <v>0</v>
      </c>
      <c r="T253" s="51">
        <v>0</v>
      </c>
    </row>
    <row r="254" spans="1:20" ht="21.75">
      <c r="A254" s="48" t="s">
        <v>656</v>
      </c>
      <c r="B254" s="48" t="s">
        <v>657</v>
      </c>
      <c r="C254" s="51">
        <v>0</v>
      </c>
      <c r="D254" s="51">
        <v>0</v>
      </c>
      <c r="E254" s="51">
        <v>3500</v>
      </c>
      <c r="F254" s="51">
        <v>0</v>
      </c>
      <c r="G254" s="51">
        <v>3500</v>
      </c>
      <c r="H254" s="51">
        <v>0</v>
      </c>
      <c r="I254" s="51">
        <v>0</v>
      </c>
      <c r="J254" s="51">
        <v>0</v>
      </c>
      <c r="K254" s="51">
        <v>3500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3500</v>
      </c>
      <c r="R254" s="51">
        <v>0</v>
      </c>
      <c r="S254" s="51">
        <v>0</v>
      </c>
      <c r="T254" s="51">
        <v>0</v>
      </c>
    </row>
    <row r="255" spans="1:20" s="57" customFormat="1" ht="21.75">
      <c r="A255" s="55" t="s">
        <v>333</v>
      </c>
      <c r="B255" s="55" t="s">
        <v>181</v>
      </c>
      <c r="C255" s="56">
        <v>0</v>
      </c>
      <c r="D255" s="56">
        <v>0</v>
      </c>
      <c r="E255" s="56">
        <v>6169.48</v>
      </c>
      <c r="F255" s="56">
        <v>0</v>
      </c>
      <c r="G255" s="56">
        <v>6169.48</v>
      </c>
      <c r="H255" s="56">
        <v>0</v>
      </c>
      <c r="I255" s="56">
        <v>0</v>
      </c>
      <c r="J255" s="56">
        <v>0</v>
      </c>
      <c r="K255" s="56">
        <v>6169.48</v>
      </c>
      <c r="L255" s="56">
        <v>0</v>
      </c>
      <c r="M255" s="56">
        <v>0</v>
      </c>
      <c r="N255" s="56">
        <v>0</v>
      </c>
      <c r="O255" s="56">
        <v>0</v>
      </c>
      <c r="P255" s="56">
        <v>0</v>
      </c>
      <c r="Q255" s="56">
        <v>6169.48</v>
      </c>
      <c r="R255" s="56">
        <v>0</v>
      </c>
      <c r="S255" s="56">
        <v>0</v>
      </c>
      <c r="T255" s="56">
        <v>0</v>
      </c>
    </row>
    <row r="256" spans="1:20" ht="21.75">
      <c r="A256" s="54" t="s">
        <v>658</v>
      </c>
      <c r="B256" s="54" t="s">
        <v>178</v>
      </c>
      <c r="C256" s="53">
        <v>0</v>
      </c>
      <c r="D256" s="53">
        <v>0</v>
      </c>
      <c r="E256" s="53">
        <v>78129.05</v>
      </c>
      <c r="F256" s="53">
        <v>0</v>
      </c>
      <c r="G256" s="53">
        <f>E256</f>
        <v>78129.05</v>
      </c>
      <c r="H256" s="53">
        <v>0</v>
      </c>
      <c r="I256" s="53">
        <v>0</v>
      </c>
      <c r="J256" s="53">
        <v>0</v>
      </c>
      <c r="K256" s="53">
        <v>78129.05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78129.05</v>
      </c>
      <c r="R256" s="53">
        <v>0</v>
      </c>
      <c r="S256" s="53">
        <v>0</v>
      </c>
      <c r="T256" s="53">
        <v>0</v>
      </c>
    </row>
    <row r="257" spans="1:20" ht="21.75">
      <c r="A257" s="48" t="s">
        <v>334</v>
      </c>
      <c r="B257" s="48" t="s">
        <v>179</v>
      </c>
      <c r="C257" s="51">
        <v>0</v>
      </c>
      <c r="D257" s="51">
        <v>0</v>
      </c>
      <c r="E257" s="51">
        <v>22486.05</v>
      </c>
      <c r="F257" s="51">
        <v>0</v>
      </c>
      <c r="G257" s="51">
        <v>22486.05</v>
      </c>
      <c r="H257" s="51">
        <v>0</v>
      </c>
      <c r="I257" s="51">
        <v>0</v>
      </c>
      <c r="J257" s="51">
        <v>0</v>
      </c>
      <c r="K257" s="51">
        <v>22486.05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22486.05</v>
      </c>
      <c r="R257" s="51">
        <v>0</v>
      </c>
      <c r="S257" s="51">
        <v>0</v>
      </c>
      <c r="T257" s="51">
        <v>0</v>
      </c>
    </row>
    <row r="258" spans="1:20" ht="21.75">
      <c r="A258" s="48" t="s">
        <v>335</v>
      </c>
      <c r="B258" s="48" t="s">
        <v>336</v>
      </c>
      <c r="C258" s="51">
        <v>0</v>
      </c>
      <c r="D258" s="51">
        <v>0</v>
      </c>
      <c r="E258" s="51">
        <v>41433.03</v>
      </c>
      <c r="F258" s="51">
        <v>0</v>
      </c>
      <c r="G258" s="51">
        <v>41433.03</v>
      </c>
      <c r="H258" s="51">
        <v>0</v>
      </c>
      <c r="I258" s="51">
        <v>0</v>
      </c>
      <c r="J258" s="51">
        <v>0</v>
      </c>
      <c r="K258" s="51">
        <v>41433.03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41433.03</v>
      </c>
      <c r="R258" s="51">
        <v>0</v>
      </c>
      <c r="S258" s="51">
        <v>0</v>
      </c>
      <c r="T258" s="51">
        <v>0</v>
      </c>
    </row>
    <row r="259" spans="1:20" ht="21.75">
      <c r="A259" s="48" t="s">
        <v>660</v>
      </c>
      <c r="B259" s="48" t="s">
        <v>661</v>
      </c>
      <c r="C259" s="51">
        <v>0</v>
      </c>
      <c r="D259" s="51">
        <v>0</v>
      </c>
      <c r="E259" s="51">
        <v>5700</v>
      </c>
      <c r="F259" s="51">
        <v>0</v>
      </c>
      <c r="G259" s="51">
        <v>5700</v>
      </c>
      <c r="H259" s="51">
        <v>0</v>
      </c>
      <c r="I259" s="51">
        <v>0</v>
      </c>
      <c r="J259" s="51">
        <v>0</v>
      </c>
      <c r="K259" s="51">
        <v>5700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5700</v>
      </c>
      <c r="R259" s="51">
        <v>0</v>
      </c>
      <c r="S259" s="51">
        <v>0</v>
      </c>
      <c r="T259" s="51">
        <v>0</v>
      </c>
    </row>
    <row r="260" spans="1:20" ht="21.75">
      <c r="A260" s="48"/>
      <c r="B260" s="48" t="s">
        <v>78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/>
      <c r="N260" s="51">
        <v>19565.62</v>
      </c>
      <c r="O260" s="51">
        <v>0</v>
      </c>
      <c r="P260" s="51">
        <v>1783791.68</v>
      </c>
      <c r="Q260" s="51">
        <v>0</v>
      </c>
      <c r="R260" s="51">
        <v>0</v>
      </c>
      <c r="S260" s="51">
        <f>1783791.68+N260</f>
        <v>1803357.3</v>
      </c>
      <c r="T260" s="51">
        <v>0</v>
      </c>
    </row>
    <row r="261" spans="1:20" ht="21.75">
      <c r="A261" s="49"/>
      <c r="B261" s="48" t="s">
        <v>337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/>
      <c r="N261" s="51">
        <f>งบต้นทุนการผลิต!F19</f>
        <v>473112.55999999994</v>
      </c>
      <c r="O261" s="51">
        <f>งบต้นทุนการผลิต!F19</f>
        <v>473112.55999999994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</row>
    <row r="262" spans="1:20" ht="21.75">
      <c r="A262" s="49"/>
      <c r="B262" s="48" t="s">
        <v>47</v>
      </c>
      <c r="C262" s="51">
        <v>0</v>
      </c>
      <c r="D262" s="51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/>
      <c r="O262" s="51">
        <v>0</v>
      </c>
      <c r="P262" s="51">
        <f>'ต้นทุน 2'!F13</f>
        <v>211565966</v>
      </c>
      <c r="Q262" s="51">
        <f>P262</f>
        <v>211565966</v>
      </c>
      <c r="R262" s="51">
        <v>0</v>
      </c>
      <c r="S262" s="51">
        <v>0</v>
      </c>
      <c r="T262" s="51">
        <v>0</v>
      </c>
    </row>
    <row r="263" spans="1:20" ht="21.75">
      <c r="A263" s="49"/>
      <c r="B263" s="48" t="s">
        <v>836</v>
      </c>
      <c r="C263" s="51"/>
      <c r="D263" s="51"/>
      <c r="E263" s="51">
        <v>9990</v>
      </c>
      <c r="F263" s="51"/>
      <c r="G263" s="51">
        <f>E263</f>
        <v>9990</v>
      </c>
      <c r="H263" s="51"/>
      <c r="I263" s="51">
        <v>0</v>
      </c>
      <c r="J263" s="51"/>
      <c r="K263" s="51">
        <v>9990</v>
      </c>
      <c r="L263" s="51"/>
      <c r="M263" s="51"/>
      <c r="N263" s="51"/>
      <c r="O263" s="51"/>
      <c r="P263" s="51"/>
      <c r="Q263" s="51"/>
      <c r="R263" s="51"/>
      <c r="S263" s="51">
        <v>9990</v>
      </c>
      <c r="T263" s="51"/>
    </row>
    <row r="264" spans="1:20" ht="21.75">
      <c r="A264" s="49"/>
      <c r="B264" s="48" t="s">
        <v>837</v>
      </c>
      <c r="C264" s="51"/>
      <c r="D264" s="51"/>
      <c r="E264" s="51">
        <v>58632.76</v>
      </c>
      <c r="F264" s="51"/>
      <c r="G264" s="51">
        <f>E264</f>
        <v>58632.76</v>
      </c>
      <c r="H264" s="51"/>
      <c r="I264" s="51">
        <v>0</v>
      </c>
      <c r="J264" s="51"/>
      <c r="K264" s="51">
        <v>58632.76</v>
      </c>
      <c r="L264" s="51"/>
      <c r="M264" s="51"/>
      <c r="N264" s="51"/>
      <c r="O264" s="51"/>
      <c r="P264" s="51"/>
      <c r="Q264" s="51">
        <v>58632.76</v>
      </c>
      <c r="R264" s="51"/>
      <c r="S264" s="51"/>
      <c r="T264" s="51"/>
    </row>
    <row r="265" spans="1:20" ht="21.75">
      <c r="A265" s="49"/>
      <c r="B265" s="48" t="str">
        <f>ค่าใช้จ่าย!A26</f>
        <v>ค่าตอบแทนผู้ตรวจสอบกิจการ</v>
      </c>
      <c r="C265" s="51"/>
      <c r="D265" s="51"/>
      <c r="E265" s="51">
        <v>6000</v>
      </c>
      <c r="F265" s="51"/>
      <c r="G265" s="51">
        <v>6000</v>
      </c>
      <c r="H265" s="51"/>
      <c r="I265" s="51"/>
      <c r="J265" s="51"/>
      <c r="K265" s="51">
        <v>6000</v>
      </c>
      <c r="L265" s="51"/>
      <c r="M265" s="51"/>
      <c r="N265" s="51"/>
      <c r="O265" s="51"/>
      <c r="P265" s="51"/>
      <c r="Q265" s="51">
        <v>6000</v>
      </c>
      <c r="R265" s="51"/>
      <c r="S265" s="51"/>
      <c r="T265" s="51"/>
    </row>
    <row r="266" spans="1:20" ht="21.75">
      <c r="A266" s="49"/>
      <c r="B266" s="48" t="str">
        <f>รวบรวมผลิตผล!B18</f>
        <v> - ค่าเสื่อมราคาอาคาร ยานพาหนะ และอุปกรณ์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>
        <f>รวบรวมผลิตผล!E18</f>
        <v>350073.42</v>
      </c>
      <c r="R266" s="51"/>
      <c r="S266" s="51"/>
      <c r="T266" s="51"/>
    </row>
    <row r="267" spans="1:20" ht="21.75">
      <c r="A267" s="49"/>
      <c r="B267" s="48" t="s">
        <v>839</v>
      </c>
      <c r="C267" s="51"/>
      <c r="D267" s="51"/>
      <c r="E267" s="51">
        <v>736736.99</v>
      </c>
      <c r="F267" s="51"/>
      <c r="G267" s="51">
        <f>E267</f>
        <v>736736.99</v>
      </c>
      <c r="H267" s="51"/>
      <c r="I267" s="51">
        <v>0</v>
      </c>
      <c r="J267" s="51"/>
      <c r="K267" s="51">
        <f>G267</f>
        <v>736736.99</v>
      </c>
      <c r="L267" s="51"/>
      <c r="M267" s="51"/>
      <c r="N267" s="51"/>
      <c r="O267" s="51"/>
      <c r="P267" s="51"/>
      <c r="Q267" s="51">
        <f>K267</f>
        <v>736736.99</v>
      </c>
      <c r="R267" s="51"/>
      <c r="S267" s="51"/>
      <c r="T267" s="51"/>
    </row>
    <row r="268" spans="1:20" ht="21.75">
      <c r="A268" s="49"/>
      <c r="B268" s="48" t="s">
        <v>841</v>
      </c>
      <c r="C268" s="51"/>
      <c r="D268" s="51"/>
      <c r="E268" s="51">
        <v>32520</v>
      </c>
      <c r="F268" s="51"/>
      <c r="G268" s="51">
        <f>E268</f>
        <v>32520</v>
      </c>
      <c r="H268" s="51"/>
      <c r="I268" s="51">
        <v>0</v>
      </c>
      <c r="J268" s="51"/>
      <c r="K268" s="51">
        <f>G268</f>
        <v>32520</v>
      </c>
      <c r="L268" s="51"/>
      <c r="M268" s="51"/>
      <c r="N268" s="51"/>
      <c r="O268" s="51"/>
      <c r="P268" s="51"/>
      <c r="Q268" s="51"/>
      <c r="R268" s="51"/>
      <c r="S268" s="51">
        <f>K268</f>
        <v>32520</v>
      </c>
      <c r="T268" s="51"/>
    </row>
    <row r="269" spans="1:20" ht="21.75">
      <c r="A269" s="58"/>
      <c r="B269" s="59" t="s">
        <v>190</v>
      </c>
      <c r="C269" s="60">
        <v>0</v>
      </c>
      <c r="D269" s="60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f>กำไรขาดทุน!E17</f>
        <v>5949076.6099999845</v>
      </c>
      <c r="R269" s="60">
        <v>0</v>
      </c>
      <c r="S269" s="60">
        <v>0</v>
      </c>
      <c r="T269" s="60">
        <f>Q269</f>
        <v>5949076.6099999845</v>
      </c>
    </row>
    <row r="270" spans="1:20" s="64" customFormat="1" ht="21.75">
      <c r="A270" s="61"/>
      <c r="B270" s="62" t="s">
        <v>662</v>
      </c>
      <c r="C270" s="63">
        <f>SUM(C6:C269)</f>
        <v>407184616.75000006</v>
      </c>
      <c r="D270" s="63">
        <f>SUM(D6:D269)</f>
        <v>407184616.75000006</v>
      </c>
      <c r="E270" s="63">
        <f aca="true" t="shared" si="2" ref="E270:T270">SUM(E6:E269)</f>
        <v>2863158935.3000007</v>
      </c>
      <c r="F270" s="63">
        <f t="shared" si="2"/>
        <v>2863158935.300001</v>
      </c>
      <c r="G270" s="63">
        <f t="shared" si="2"/>
        <v>683575386.85</v>
      </c>
      <c r="H270" s="63">
        <f t="shared" si="2"/>
        <v>683575386.8499998</v>
      </c>
      <c r="I270" s="63">
        <f t="shared" si="2"/>
        <v>0</v>
      </c>
      <c r="J270" s="63">
        <f t="shared" si="2"/>
        <v>0</v>
      </c>
      <c r="K270" s="63">
        <f t="shared" si="2"/>
        <v>683575386.8499999</v>
      </c>
      <c r="L270" s="63">
        <f t="shared" si="2"/>
        <v>683575386.8499998</v>
      </c>
      <c r="M270" s="63">
        <f t="shared" si="2"/>
        <v>644372.5</v>
      </c>
      <c r="N270" s="63">
        <f t="shared" si="2"/>
        <v>492678.17999999993</v>
      </c>
      <c r="O270" s="63">
        <f t="shared" si="2"/>
        <v>213647808.44</v>
      </c>
      <c r="P270" s="63">
        <f t="shared" si="2"/>
        <v>213629868.44</v>
      </c>
      <c r="Q270" s="63">
        <f t="shared" si="2"/>
        <v>235774147.73999998</v>
      </c>
      <c r="R270" s="63">
        <f t="shared" si="2"/>
        <v>237155808.07999998</v>
      </c>
      <c r="S270" s="63">
        <f t="shared" si="2"/>
        <v>453573570.64</v>
      </c>
      <c r="T270" s="63">
        <f t="shared" si="2"/>
        <v>452088544.6200001</v>
      </c>
    </row>
    <row r="271" ht="21.75"/>
    <row r="272" ht="21.75"/>
    <row r="273" ht="21.75"/>
    <row r="274" ht="21.75"/>
    <row r="275" ht="21.75"/>
    <row r="276" ht="21.75"/>
    <row r="277" ht="21.75"/>
    <row r="278" ht="21.75"/>
    <row r="279" ht="21.75"/>
    <row r="280" ht="21.75"/>
    <row r="281" ht="21.75"/>
    <row r="282" ht="21.75"/>
    <row r="283" ht="21.75"/>
    <row r="284" ht="21.75"/>
    <row r="285" ht="21.75"/>
    <row r="286" ht="21.75"/>
    <row r="287" ht="21.75"/>
    <row r="288" ht="21.75"/>
    <row r="289" ht="21.75"/>
    <row r="290" ht="21.75"/>
    <row r="291" ht="21.75"/>
    <row r="292" ht="21.75"/>
    <row r="293" ht="21.75"/>
    <row r="294" ht="21.75"/>
    <row r="295" ht="21.75"/>
    <row r="296" ht="21.75"/>
    <row r="297" ht="21.75"/>
    <row r="298" ht="21.75"/>
    <row r="299" ht="21.75"/>
    <row r="300" ht="21.75"/>
    <row r="301" ht="21.75"/>
    <row r="302" ht="21.75"/>
    <row r="303" ht="21.75"/>
    <row r="304" ht="21.75"/>
    <row r="305" ht="21.75"/>
    <row r="306" ht="21.75"/>
    <row r="307" ht="21.75"/>
    <row r="308" ht="21.75"/>
    <row r="309" ht="21.75"/>
    <row r="310" ht="21.75"/>
    <row r="311" ht="21.75"/>
    <row r="312" ht="21.75"/>
    <row r="313" ht="21.75"/>
    <row r="314" ht="21.75"/>
    <row r="315" ht="21.75"/>
    <row r="316" ht="21.75"/>
    <row r="317" ht="21.75"/>
    <row r="318" ht="21.75"/>
    <row r="319" ht="21.75"/>
    <row r="320" ht="21.75"/>
    <row r="321" ht="21.75"/>
    <row r="322" ht="21.75"/>
    <row r="323" ht="21.75"/>
    <row r="324" ht="21.75"/>
    <row r="325" ht="21.75"/>
    <row r="326" ht="21.75"/>
    <row r="327" ht="21.75"/>
    <row r="328" ht="21.75"/>
    <row r="329" ht="21.75"/>
    <row r="330" ht="21.75"/>
    <row r="331" ht="21.75"/>
    <row r="332" ht="21.75"/>
    <row r="333" ht="21.75"/>
    <row r="334" ht="21.75"/>
    <row r="335" ht="21.75"/>
    <row r="336" ht="21.75"/>
    <row r="337" ht="21.75"/>
    <row r="338" ht="21.75"/>
    <row r="339" ht="21.75"/>
    <row r="340" ht="21.75"/>
    <row r="341" ht="21.75"/>
    <row r="342" ht="21.75"/>
    <row r="343" ht="21.75"/>
    <row r="344" ht="21.75"/>
    <row r="345" ht="21.75"/>
    <row r="346" ht="21.75"/>
    <row r="347" ht="21.75"/>
    <row r="348" ht="21.75"/>
    <row r="349" ht="21.75"/>
    <row r="350" ht="21.75"/>
    <row r="351" ht="21.75"/>
    <row r="352" ht="21.75"/>
    <row r="353" ht="21.75"/>
    <row r="354" ht="21.75"/>
    <row r="355" ht="21.75"/>
    <row r="356" ht="21.75"/>
    <row r="357" ht="21.75"/>
    <row r="358" ht="21.75"/>
    <row r="359" ht="21.75"/>
    <row r="360" ht="21.75"/>
    <row r="361" ht="21.75"/>
    <row r="362" ht="21.75"/>
    <row r="363" ht="21.75"/>
    <row r="364" ht="21.75"/>
    <row r="365" ht="21.75"/>
    <row r="366" ht="21.75"/>
    <row r="367" ht="21.75"/>
    <row r="368" ht="21.75"/>
    <row r="369" ht="21.75"/>
    <row r="370" ht="21.75"/>
    <row r="371" ht="21.75"/>
    <row r="372" ht="21.75"/>
    <row r="373" ht="21.75"/>
    <row r="374" ht="21.75"/>
    <row r="375" ht="21.75"/>
    <row r="376" ht="21.75"/>
    <row r="377" ht="21.75"/>
    <row r="378" ht="21.75"/>
    <row r="379" ht="21.75"/>
    <row r="380" ht="21.75"/>
    <row r="381" ht="21.75"/>
    <row r="382" ht="21.75"/>
    <row r="383" ht="21.75"/>
    <row r="384" ht="21.75"/>
    <row r="385" ht="21.75"/>
    <row r="386" ht="21.75"/>
    <row r="387" ht="21.75"/>
    <row r="388" ht="21.75"/>
    <row r="389" ht="21.75"/>
    <row r="390" ht="21.75"/>
    <row r="391" ht="21.75"/>
    <row r="392" ht="21.75"/>
    <row r="393" ht="21.75"/>
    <row r="394" ht="21.75"/>
    <row r="395" ht="21.75"/>
    <row r="396" ht="21.75"/>
    <row r="397" ht="21.75"/>
    <row r="398" ht="21.75"/>
    <row r="399" ht="21.75"/>
    <row r="400" ht="21.75"/>
    <row r="401" ht="21.75"/>
    <row r="402" ht="21.75"/>
    <row r="403" ht="21.75"/>
    <row r="404" ht="21.75"/>
    <row r="405" ht="21.75"/>
    <row r="406" ht="21.75"/>
    <row r="407" ht="21.75"/>
    <row r="408" ht="21.75"/>
    <row r="409" ht="21.75"/>
    <row r="410" ht="21.75"/>
    <row r="411" ht="21.75"/>
    <row r="412" ht="21.75"/>
    <row r="413" ht="21.75"/>
    <row r="414" ht="21.75"/>
    <row r="415" ht="21.75"/>
    <row r="416" ht="21.75"/>
    <row r="417" ht="21.75"/>
    <row r="418" ht="21.75"/>
    <row r="419" ht="21.75"/>
    <row r="420" ht="21.75"/>
    <row r="421" ht="21.75"/>
    <row r="422" ht="21.75"/>
    <row r="423" ht="21.75"/>
    <row r="424" ht="21.75"/>
    <row r="425" ht="21.75"/>
    <row r="426" ht="21.75"/>
    <row r="427" ht="21.75"/>
    <row r="428" ht="21.75"/>
    <row r="429" ht="21.75"/>
    <row r="430" ht="21.75"/>
    <row r="431" ht="21.75"/>
    <row r="432" ht="21.75"/>
    <row r="433" ht="21.75"/>
    <row r="434" ht="21.75"/>
    <row r="435" ht="21.75"/>
    <row r="436" ht="21.75"/>
    <row r="437" ht="21.75"/>
    <row r="438" ht="21.75"/>
    <row r="439" ht="21.75"/>
    <row r="440" ht="21.75"/>
    <row r="441" ht="21.75"/>
    <row r="442" ht="21.75"/>
    <row r="443" ht="21.75"/>
    <row r="444" ht="21.75"/>
    <row r="445" ht="21.75"/>
    <row r="446" ht="21.75"/>
    <row r="447" ht="21.75"/>
    <row r="448" ht="21.75"/>
    <row r="449" ht="21.75"/>
    <row r="450" ht="21.75"/>
    <row r="451" ht="21.75"/>
    <row r="452" ht="21.75"/>
    <row r="453" ht="21.75"/>
    <row r="454" ht="21.75"/>
    <row r="455" ht="21.75"/>
    <row r="456" ht="21.75"/>
    <row r="457" ht="21.75"/>
    <row r="458" ht="21.75"/>
    <row r="459" ht="21.75"/>
    <row r="460" ht="21.75"/>
    <row r="461" ht="21.75"/>
    <row r="462" ht="21.75"/>
    <row r="463" ht="21.75"/>
    <row r="464" ht="21.75"/>
    <row r="465" ht="21.75"/>
    <row r="466" ht="21.75"/>
    <row r="467" ht="21.75"/>
    <row r="468" ht="21.75"/>
    <row r="469" ht="21.75"/>
    <row r="470" ht="21.75"/>
    <row r="471" ht="21.75"/>
    <row r="472" ht="21.75"/>
    <row r="473" ht="21.75"/>
    <row r="474" ht="21.75"/>
    <row r="475" ht="21.75"/>
    <row r="476" ht="21.75"/>
    <row r="477" ht="21.75"/>
    <row r="478" ht="21.75"/>
    <row r="479" ht="21.75"/>
    <row r="480" ht="21.75"/>
    <row r="481" ht="21.75"/>
    <row r="482" ht="21.75"/>
    <row r="483" ht="21.75"/>
    <row r="484" ht="21.75"/>
    <row r="485" ht="21.75"/>
    <row r="486" ht="21.75"/>
    <row r="487" ht="21.75"/>
    <row r="488" ht="21.75"/>
    <row r="489" ht="21.75"/>
    <row r="490" ht="21.75"/>
    <row r="491" ht="21.75"/>
    <row r="492" ht="21.75"/>
    <row r="493" ht="21.75"/>
    <row r="494" ht="21.75"/>
    <row r="495" ht="21.75"/>
    <row r="496" ht="21.75"/>
    <row r="497" ht="21.75"/>
    <row r="498" ht="21.75"/>
    <row r="499" ht="21.75"/>
    <row r="500" ht="21.75"/>
    <row r="501" ht="21.75"/>
    <row r="502" ht="21.75"/>
    <row r="503" ht="21.75"/>
    <row r="504" ht="21.75"/>
    <row r="505" ht="21.75"/>
    <row r="506" ht="21.75"/>
    <row r="507" ht="21.75"/>
    <row r="508" ht="21.75"/>
    <row r="509" ht="21.75"/>
    <row r="510" ht="21.75"/>
    <row r="511" ht="21.75"/>
    <row r="512" ht="21.75"/>
    <row r="513" ht="21.75"/>
    <row r="514" ht="21.75"/>
    <row r="515" ht="21.75"/>
    <row r="516" ht="21.75"/>
    <row r="517" ht="21.75"/>
    <row r="518" ht="21.75"/>
    <row r="519" ht="21.75"/>
    <row r="520" ht="21.75"/>
    <row r="521" ht="21.75"/>
    <row r="522" ht="21.75"/>
    <row r="523" ht="21.75"/>
    <row r="524" ht="21.75"/>
    <row r="525" ht="21.75"/>
    <row r="526" ht="21.75"/>
    <row r="527" ht="21.75"/>
    <row r="528" ht="21.75"/>
    <row r="529" ht="21.75"/>
    <row r="530" ht="21.75"/>
    <row r="531" ht="21.75"/>
    <row r="532" ht="21.75"/>
    <row r="533" ht="21.75"/>
    <row r="534" ht="21.75"/>
    <row r="535" ht="21.75"/>
    <row r="536" ht="21.75"/>
    <row r="537" ht="21.75"/>
    <row r="538" ht="21.75"/>
    <row r="539" ht="21.75"/>
    <row r="540" ht="21.75"/>
    <row r="541" ht="21.75"/>
    <row r="542" ht="21.75"/>
    <row r="543" ht="21.75"/>
    <row r="544" ht="21.75"/>
    <row r="545" ht="21.75"/>
    <row r="546" ht="21.75"/>
    <row r="547" ht="21.75"/>
    <row r="548" ht="21.75"/>
    <row r="549" ht="21.75"/>
    <row r="550" ht="21.75"/>
    <row r="551" ht="21.75"/>
    <row r="552" ht="21.75"/>
    <row r="553" ht="21.75"/>
    <row r="554" ht="21.75"/>
    <row r="555" ht="21.75"/>
    <row r="556" ht="21.75"/>
    <row r="557" ht="21.75"/>
    <row r="558" ht="21.75"/>
    <row r="559" ht="21.75"/>
    <row r="560" ht="21.75"/>
    <row r="561" ht="21.75"/>
    <row r="562" ht="21.75"/>
    <row r="563" ht="21.75"/>
    <row r="564" ht="21.75"/>
    <row r="565" ht="21.75"/>
    <row r="566" ht="21.75"/>
    <row r="567" ht="21.75"/>
    <row r="568" ht="21.75"/>
    <row r="569" ht="21.75"/>
    <row r="570" ht="21.75"/>
    <row r="571" ht="21.75"/>
    <row r="572" ht="21.75"/>
    <row r="573" ht="21.75"/>
    <row r="574" ht="21.75"/>
    <row r="575" ht="21.75"/>
    <row r="576" ht="21.75"/>
    <row r="577" ht="21.75"/>
    <row r="578" ht="21.75"/>
    <row r="579" ht="21.75"/>
    <row r="580" ht="21.75"/>
    <row r="581" ht="21.75"/>
    <row r="582" ht="21.75"/>
    <row r="583" ht="21.75"/>
    <row r="584" ht="21.75"/>
    <row r="585" ht="21.75"/>
    <row r="586" ht="21.75"/>
    <row r="587" ht="21.75"/>
    <row r="588" ht="21.75"/>
    <row r="589" ht="21.75"/>
    <row r="590" ht="21.75"/>
    <row r="591" ht="21.75"/>
    <row r="592" ht="21.75"/>
    <row r="593" ht="21.75"/>
    <row r="594" ht="21.75"/>
    <row r="595" ht="21.75"/>
    <row r="596" ht="21.75"/>
    <row r="597" ht="21.75"/>
    <row r="598" ht="21.75"/>
    <row r="599" ht="21.75"/>
    <row r="600" ht="21.75"/>
    <row r="601" ht="21.75"/>
    <row r="602" ht="21.75"/>
    <row r="603" ht="21.75"/>
    <row r="604" ht="21.75"/>
    <row r="605" ht="21.75"/>
    <row r="606" ht="21.75"/>
    <row r="607" ht="21.75"/>
    <row r="608" ht="21.75"/>
    <row r="609" ht="21.75"/>
    <row r="610" ht="21.75"/>
    <row r="611" ht="21.75"/>
    <row r="612" ht="21.75"/>
    <row r="613" ht="21.75"/>
    <row r="614" ht="21.75"/>
    <row r="615" ht="21.75"/>
    <row r="616" ht="21.75"/>
    <row r="617" ht="21.75"/>
    <row r="618" ht="21.75"/>
    <row r="619" ht="21.75"/>
    <row r="620" ht="21.75"/>
    <row r="621" ht="21.75"/>
    <row r="622" ht="21.75"/>
    <row r="623" ht="21.75"/>
    <row r="624" ht="21.75"/>
    <row r="625" ht="21.75"/>
    <row r="626" ht="21.75"/>
    <row r="627" ht="21.75"/>
    <row r="628" ht="21.75"/>
    <row r="629" ht="21.75"/>
    <row r="630" ht="21.75"/>
    <row r="631" ht="21.75"/>
    <row r="632" ht="21.75"/>
    <row r="633" ht="21.75"/>
    <row r="634" ht="21.75"/>
    <row r="635" ht="21.75"/>
    <row r="636" ht="21.75"/>
    <row r="637" ht="21.75"/>
    <row r="638" ht="21.75"/>
    <row r="639" ht="21.75"/>
    <row r="640" ht="21.75"/>
    <row r="641" ht="21.75"/>
    <row r="642" ht="21.75"/>
    <row r="643" ht="21.75"/>
    <row r="644" ht="21.75"/>
    <row r="645" ht="21.75"/>
    <row r="646" ht="21.75"/>
    <row r="647" ht="21.75"/>
    <row r="648" ht="21.75"/>
    <row r="649" ht="21.75"/>
    <row r="650" ht="21.75"/>
    <row r="651" ht="21.75"/>
    <row r="652" ht="21.75"/>
    <row r="653" ht="21.75"/>
    <row r="654" ht="21.75"/>
    <row r="655" ht="21.75"/>
    <row r="656" ht="21.75"/>
    <row r="657" ht="21.75"/>
    <row r="658" ht="21.75"/>
    <row r="659" ht="21.75"/>
    <row r="660" ht="21.75"/>
    <row r="661" ht="21.75"/>
    <row r="662" ht="21.75"/>
    <row r="663" ht="21.75"/>
    <row r="664" ht="21.75"/>
    <row r="665" ht="21.75"/>
    <row r="666" ht="21.75"/>
    <row r="667" ht="21.75"/>
    <row r="668" ht="21.75"/>
    <row r="669" ht="21.75"/>
    <row r="670" ht="21.75"/>
    <row r="671" ht="21.75"/>
    <row r="672" ht="21.75"/>
    <row r="673" ht="21.75"/>
    <row r="674" ht="21.75"/>
    <row r="675" ht="21.75"/>
    <row r="676" ht="21.75"/>
    <row r="677" ht="21.75"/>
    <row r="678" ht="21.75"/>
    <row r="679" ht="21.75"/>
    <row r="680" ht="21.75"/>
    <row r="681" ht="21.75"/>
    <row r="682" ht="21.75"/>
    <row r="683" ht="21.75"/>
    <row r="684" ht="21.75"/>
    <row r="685" ht="21.75"/>
    <row r="686" ht="21.75"/>
    <row r="687" ht="21.75"/>
    <row r="688" ht="21.75"/>
    <row r="689" ht="21.75"/>
    <row r="690" ht="21.75"/>
    <row r="691" ht="21.75"/>
    <row r="692" ht="21.75"/>
    <row r="693" ht="21.75"/>
    <row r="694" ht="21.75"/>
    <row r="695" ht="21.75"/>
    <row r="696" ht="21.75"/>
    <row r="697" ht="21.75"/>
    <row r="698" ht="21.75"/>
    <row r="699" ht="21.75"/>
    <row r="700" ht="21.75"/>
    <row r="701" ht="21.75"/>
    <row r="702" ht="21.75"/>
    <row r="703" ht="21.75"/>
    <row r="704" ht="21.75"/>
    <row r="705" ht="21.75"/>
    <row r="706" ht="21.75"/>
    <row r="707" ht="21.75"/>
    <row r="708" ht="21.75"/>
    <row r="709" ht="21.75"/>
    <row r="710" ht="21.75"/>
    <row r="711" ht="21.75"/>
    <row r="712" ht="21.75"/>
    <row r="713" ht="21.75"/>
    <row r="714" ht="21.75"/>
    <row r="715" ht="21.75"/>
    <row r="716" ht="21.75"/>
    <row r="717" ht="21.75"/>
    <row r="718" ht="21.75"/>
    <row r="719" ht="21.75"/>
    <row r="720" ht="21.75"/>
    <row r="721" ht="21.75"/>
    <row r="722" ht="21.75"/>
    <row r="723" ht="21.75"/>
    <row r="724" ht="21.75"/>
    <row r="725" ht="21.75"/>
    <row r="726" ht="21.75"/>
    <row r="727" ht="21.75"/>
    <row r="728" ht="21.75"/>
    <row r="729" ht="21.75"/>
    <row r="730" ht="21.75"/>
    <row r="731" ht="21.75"/>
    <row r="732" ht="21.75"/>
    <row r="733" ht="21.75"/>
    <row r="734" ht="21.75"/>
    <row r="735" ht="21.75"/>
    <row r="736" ht="21.75"/>
    <row r="737" ht="21.75"/>
    <row r="738" ht="21.75"/>
    <row r="739" ht="21.75"/>
    <row r="740" ht="21.75"/>
    <row r="741" ht="21.75"/>
    <row r="742" ht="21.75"/>
    <row r="743" ht="21.75"/>
    <row r="744" ht="21.75"/>
    <row r="745" ht="21.75"/>
    <row r="746" ht="21.75"/>
    <row r="747" ht="21.75"/>
    <row r="748" ht="21.75"/>
    <row r="749" ht="21.75"/>
    <row r="750" ht="21.75"/>
    <row r="751" ht="21.75"/>
    <row r="752" ht="21.75"/>
    <row r="753" ht="21.75"/>
    <row r="754" ht="21.75"/>
    <row r="755" ht="21.75"/>
    <row r="756" ht="21.75"/>
    <row r="757" ht="21.75"/>
    <row r="758" ht="21.75"/>
    <row r="759" ht="21.75"/>
    <row r="760" ht="21.75"/>
    <row r="761" ht="21.75"/>
    <row r="762" ht="21.75"/>
    <row r="763" ht="21.75"/>
    <row r="764" ht="21.75"/>
    <row r="765" ht="21.75"/>
    <row r="766" ht="21.75"/>
    <row r="767" ht="21.75"/>
    <row r="768" ht="21.75"/>
    <row r="769" ht="21.75"/>
    <row r="770" ht="21.75"/>
    <row r="771" ht="21.75"/>
    <row r="772" ht="21.75"/>
    <row r="773" ht="21.75"/>
    <row r="774" ht="21.75"/>
    <row r="775" ht="21.75"/>
    <row r="776" ht="21.75"/>
    <row r="777" ht="21.75"/>
    <row r="778" ht="21.75"/>
    <row r="779" ht="21.75"/>
    <row r="780" ht="21.75"/>
    <row r="781" ht="21.75"/>
    <row r="782" ht="21.75"/>
    <row r="783" ht="21.75"/>
    <row r="784" ht="21.75"/>
    <row r="785" ht="21.75"/>
    <row r="786" ht="21.75"/>
    <row r="787" ht="21.75"/>
    <row r="788" ht="21.75"/>
    <row r="789" ht="21.75"/>
    <row r="790" ht="21.75"/>
    <row r="791" ht="21.75"/>
    <row r="792" ht="21.75"/>
    <row r="793" ht="21.75"/>
    <row r="794" ht="21.75"/>
    <row r="795" ht="21.75"/>
    <row r="796" ht="21.75"/>
    <row r="797" ht="21.75"/>
    <row r="798" ht="21.75"/>
    <row r="799" ht="21.75"/>
    <row r="800" ht="21.75"/>
    <row r="801" ht="21.75"/>
    <row r="802" ht="21.75"/>
    <row r="803" ht="21.75"/>
    <row r="804" ht="21.75"/>
    <row r="805" ht="21.75"/>
    <row r="806" ht="21.75"/>
    <row r="807" ht="21.75"/>
    <row r="808" ht="21.75"/>
    <row r="809" ht="21.75"/>
    <row r="810" ht="21.75"/>
    <row r="811" ht="21.75"/>
    <row r="812" ht="21.75"/>
    <row r="813" ht="21.75"/>
    <row r="814" ht="21.75"/>
    <row r="815" ht="21.75"/>
    <row r="816" ht="21.75"/>
    <row r="817" ht="21.75"/>
    <row r="818" ht="21.75"/>
    <row r="819" ht="21.75"/>
    <row r="820" ht="21.75"/>
    <row r="821" ht="21.75"/>
    <row r="822" ht="21.75"/>
    <row r="823" ht="21.75"/>
    <row r="824" ht="21.75"/>
    <row r="825" ht="21.75"/>
    <row r="826" ht="21.75"/>
    <row r="827" ht="21.75"/>
    <row r="828" ht="21.75"/>
    <row r="829" ht="21.75"/>
    <row r="830" ht="21.75"/>
    <row r="831" ht="21.75"/>
    <row r="832" ht="21.75"/>
    <row r="833" ht="21.75"/>
    <row r="834" ht="21.75"/>
    <row r="835" ht="21.75"/>
    <row r="836" ht="21.75"/>
    <row r="837" ht="21.75"/>
    <row r="838" ht="21.75"/>
    <row r="839" ht="21.75"/>
    <row r="840" ht="21.75"/>
    <row r="841" ht="21.75"/>
    <row r="842" ht="21.75"/>
    <row r="843" ht="21.75"/>
    <row r="844" ht="21.75"/>
    <row r="845" ht="21.75"/>
    <row r="846" ht="21.75"/>
    <row r="847" ht="21.75"/>
    <row r="848" ht="21.75"/>
    <row r="849" ht="21.75"/>
    <row r="850" ht="21.75"/>
    <row r="851" ht="21.75"/>
    <row r="852" ht="21.75"/>
    <row r="853" ht="21.75"/>
    <row r="854" ht="21.75"/>
    <row r="855" ht="21.75"/>
    <row r="856" ht="21.75"/>
    <row r="857" ht="21.75"/>
    <row r="858" ht="21.75"/>
    <row r="859" ht="21.75"/>
    <row r="860" ht="21.75"/>
    <row r="861" ht="21.75"/>
    <row r="862" ht="21.75"/>
    <row r="863" ht="21.75"/>
    <row r="864" ht="21.75"/>
    <row r="865" ht="21.75"/>
    <row r="866" ht="21.75"/>
    <row r="867" ht="21.75"/>
    <row r="868" ht="21.75"/>
    <row r="869" ht="21.75"/>
    <row r="870" ht="21.75"/>
    <row r="871" ht="21.75"/>
    <row r="872" ht="21.75"/>
    <row r="873" ht="21.75"/>
    <row r="874" ht="21.75"/>
    <row r="875" ht="21.75"/>
    <row r="876" ht="21.75"/>
    <row r="877" ht="21.75"/>
    <row r="878" ht="21.75"/>
    <row r="879" ht="21.75"/>
    <row r="880" ht="21.75"/>
    <row r="881" ht="21.75"/>
    <row r="882" ht="21.75"/>
    <row r="883" ht="21.75"/>
    <row r="884" ht="21.75"/>
    <row r="885" ht="21.75"/>
    <row r="886" ht="21.75"/>
    <row r="887" ht="21.75"/>
    <row r="888" ht="21.75"/>
    <row r="889" ht="21.75"/>
    <row r="890" ht="21.75"/>
    <row r="891" ht="21.75"/>
    <row r="892" ht="21.75"/>
    <row r="893" ht="21.75"/>
    <row r="894" ht="21.75"/>
    <row r="895" ht="21.75"/>
    <row r="896" ht="21.75"/>
    <row r="897" ht="21.75"/>
    <row r="898" ht="21.75"/>
    <row r="899" ht="21.75"/>
    <row r="900" ht="21.75"/>
    <row r="901" ht="21.75"/>
    <row r="902" ht="21.75"/>
    <row r="903" ht="21.75"/>
    <row r="904" ht="21.75"/>
    <row r="905" ht="21.75"/>
    <row r="906" ht="21.75"/>
    <row r="907" ht="21.75"/>
    <row r="908" ht="21.75"/>
    <row r="909" ht="21.75"/>
    <row r="910" ht="21.75"/>
    <row r="911" ht="21.75"/>
    <row r="912" ht="21.75"/>
    <row r="913" ht="21.75"/>
    <row r="914" ht="21.75"/>
    <row r="915" ht="21.75"/>
    <row r="916" ht="21.75"/>
    <row r="917" ht="21.75"/>
    <row r="918" ht="21.75"/>
    <row r="919" ht="21.75"/>
    <row r="920" ht="21.75"/>
    <row r="921" ht="21.75"/>
    <row r="922" ht="21.75"/>
    <row r="923" ht="21.75"/>
    <row r="924" ht="21.75"/>
    <row r="925" ht="21.75"/>
    <row r="926" ht="21.75"/>
    <row r="927" ht="21.75"/>
    <row r="928" ht="21.75"/>
    <row r="929" ht="21.75"/>
    <row r="930" ht="21.75"/>
    <row r="931" ht="21.75"/>
    <row r="932" ht="21.75"/>
    <row r="933" ht="21.75"/>
    <row r="934" ht="21.75"/>
    <row r="935" ht="21.75"/>
    <row r="936" ht="21.75"/>
    <row r="937" ht="21.75"/>
    <row r="938" ht="21.75"/>
    <row r="939" ht="21.75"/>
    <row r="940" ht="21.75"/>
    <row r="941" ht="21.75"/>
    <row r="942" ht="21.75"/>
    <row r="943" ht="21.75"/>
    <row r="944" ht="21.75"/>
    <row r="945" ht="21.75"/>
    <row r="946" ht="21.75"/>
    <row r="947" ht="21.75"/>
    <row r="948" ht="21.75"/>
    <row r="949" ht="21.75"/>
    <row r="950" ht="21.75"/>
    <row r="951" ht="21.75"/>
    <row r="952" ht="21.75"/>
    <row r="953" ht="21.75"/>
    <row r="954" ht="21.75"/>
    <row r="955" ht="21.75"/>
    <row r="956" ht="21.75"/>
    <row r="957" ht="21.75"/>
    <row r="958" ht="21.75"/>
    <row r="959" ht="21.75"/>
    <row r="960" ht="21.75"/>
    <row r="961" ht="21.75"/>
    <row r="962" ht="21.75"/>
    <row r="963" ht="21.75"/>
    <row r="964" ht="21.75"/>
    <row r="965" ht="21.75"/>
    <row r="966" ht="21.75"/>
    <row r="967" ht="21.75"/>
    <row r="968" ht="21.75"/>
    <row r="969" ht="21.75"/>
    <row r="970" ht="21.75"/>
    <row r="971" ht="21.75"/>
    <row r="972" ht="21.75"/>
    <row r="973" ht="21.75"/>
    <row r="974" ht="21.75"/>
    <row r="975" ht="21.75"/>
  </sheetData>
  <sheetProtection/>
  <mergeCells count="12">
    <mergeCell ref="M4:N4"/>
    <mergeCell ref="O4:P4"/>
    <mergeCell ref="S4:T4"/>
    <mergeCell ref="Q4:R4"/>
    <mergeCell ref="A1:T1"/>
    <mergeCell ref="A2:T2"/>
    <mergeCell ref="A3:T3"/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P72"/>
  <sheetViews>
    <sheetView zoomScaleSheetLayoutView="100" workbookViewId="0" topLeftCell="A45">
      <selection activeCell="I58" sqref="I58"/>
    </sheetView>
  </sheetViews>
  <sheetFormatPr defaultColWidth="9.140625" defaultRowHeight="21.75"/>
  <cols>
    <col min="1" max="3" width="8.7109375" style="172" customWidth="1"/>
    <col min="4" max="4" width="9.140625" style="172" customWidth="1"/>
    <col min="5" max="5" width="8.00390625" style="172" customWidth="1"/>
    <col min="6" max="6" width="10.57421875" style="172" customWidth="1"/>
    <col min="7" max="7" width="11.7109375" style="172" customWidth="1"/>
    <col min="8" max="8" width="3.7109375" style="172" customWidth="1"/>
    <col min="9" max="9" width="17.7109375" style="96" customWidth="1"/>
    <col min="10" max="10" width="3.7109375" style="96" customWidth="1"/>
    <col min="11" max="11" width="17.7109375" style="96" customWidth="1"/>
    <col min="12" max="13" width="3.7109375" style="96" customWidth="1"/>
    <col min="14" max="14" width="18.8515625" style="125" customWidth="1"/>
    <col min="15" max="15" width="14.57421875" style="172" customWidth="1"/>
    <col min="16" max="16" width="16.140625" style="172" customWidth="1"/>
    <col min="17" max="16384" width="9.140625" style="172" customWidth="1"/>
  </cols>
  <sheetData>
    <row r="1" spans="1:14" s="187" customFormat="1" ht="22.5">
      <c r="A1" s="324" t="s">
        <v>132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185"/>
      <c r="N1" s="186"/>
    </row>
    <row r="2" spans="1:14" s="187" customFormat="1" ht="22.5">
      <c r="A2" s="324" t="s">
        <v>407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185"/>
      <c r="N2" s="188"/>
    </row>
    <row r="3" spans="1:14" s="187" customFormat="1" ht="22.5">
      <c r="A3" s="324" t="s">
        <v>729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185"/>
      <c r="N3" s="188"/>
    </row>
    <row r="4" spans="11:12" ht="21">
      <c r="K4" s="81"/>
      <c r="L4" s="81"/>
    </row>
    <row r="5" spans="9:12" ht="24.75" customHeight="1">
      <c r="I5" s="81" t="s">
        <v>730</v>
      </c>
      <c r="K5" s="81" t="s">
        <v>444</v>
      </c>
      <c r="L5" s="81"/>
    </row>
    <row r="6" spans="7:12" ht="24.75" customHeight="1">
      <c r="G6" s="189" t="s">
        <v>2</v>
      </c>
      <c r="I6" s="81" t="s">
        <v>9</v>
      </c>
      <c r="K6" s="81" t="s">
        <v>9</v>
      </c>
      <c r="L6" s="81"/>
    </row>
    <row r="7" spans="2:7" ht="24.75" customHeight="1">
      <c r="B7" s="190" t="s">
        <v>7</v>
      </c>
      <c r="G7" s="189"/>
    </row>
    <row r="8" ht="24.75" customHeight="1">
      <c r="A8" s="170" t="s">
        <v>8</v>
      </c>
    </row>
    <row r="9" spans="2:12" ht="24.75" customHeight="1">
      <c r="B9" s="172" t="s">
        <v>10</v>
      </c>
      <c r="G9" s="191">
        <v>2</v>
      </c>
      <c r="I9" s="83">
        <f>หมายเหตุ!J49</f>
        <v>74923968.02999999</v>
      </c>
      <c r="J9" s="112"/>
      <c r="K9" s="83">
        <v>120551329.55</v>
      </c>
      <c r="L9" s="71"/>
    </row>
    <row r="10" spans="2:12" ht="24.75" customHeight="1">
      <c r="B10" s="172" t="s">
        <v>188</v>
      </c>
      <c r="G10" s="191">
        <v>3</v>
      </c>
      <c r="I10" s="83">
        <f>หมายเหตุ!J61</f>
        <v>71449170.77000001</v>
      </c>
      <c r="J10" s="112"/>
      <c r="K10" s="83">
        <v>2126409.28</v>
      </c>
      <c r="L10" s="71"/>
    </row>
    <row r="11" spans="2:12" ht="24.75" customHeight="1">
      <c r="B11" s="172" t="s">
        <v>210</v>
      </c>
      <c r="G11" s="191"/>
      <c r="I11" s="83">
        <f>กระดาษทำการงบทดลองเครื่อง!S26+กระดาษทำการงบทดลองเครื่อง!S27</f>
        <v>847021.2</v>
      </c>
      <c r="J11" s="112"/>
      <c r="K11" s="193">
        <v>538123.27</v>
      </c>
      <c r="L11" s="71"/>
    </row>
    <row r="12" spans="2:12" ht="24.75" customHeight="1">
      <c r="B12" s="172" t="s">
        <v>119</v>
      </c>
      <c r="G12" s="191">
        <v>5</v>
      </c>
      <c r="I12" s="83">
        <f>หมายเหตุ!F89</f>
        <v>101516954.55</v>
      </c>
      <c r="J12" s="112"/>
      <c r="K12" s="83">
        <v>102048905.2</v>
      </c>
      <c r="L12" s="71"/>
    </row>
    <row r="13" spans="2:12" ht="24.75" customHeight="1">
      <c r="B13" s="172" t="s">
        <v>117</v>
      </c>
      <c r="G13" s="191">
        <v>6</v>
      </c>
      <c r="I13" s="83">
        <f>หมายเหตุ!F105</f>
        <v>2202280.3000000003</v>
      </c>
      <c r="J13" s="112"/>
      <c r="K13" s="83">
        <v>2011330.36</v>
      </c>
      <c r="L13" s="71"/>
    </row>
    <row r="14" spans="2:12" ht="24.75" customHeight="1">
      <c r="B14" s="172" t="s">
        <v>11</v>
      </c>
      <c r="G14" s="191">
        <v>7</v>
      </c>
      <c r="I14" s="83">
        <f>หมายเหตุ!J114</f>
        <v>8723977.01</v>
      </c>
      <c r="J14" s="112"/>
      <c r="K14" s="83">
        <v>8260309.38</v>
      </c>
      <c r="L14" s="71"/>
    </row>
    <row r="15" spans="2:12" ht="24.75" customHeight="1">
      <c r="B15" s="172" t="s">
        <v>12</v>
      </c>
      <c r="G15" s="191">
        <v>8</v>
      </c>
      <c r="I15" s="83">
        <f>หมายเหตุ!J123</f>
        <v>1821297.3</v>
      </c>
      <c r="J15" s="112"/>
      <c r="K15" s="83">
        <v>1310909.7</v>
      </c>
      <c r="L15" s="71"/>
    </row>
    <row r="16" spans="2:12" ht="24.75" customHeight="1">
      <c r="B16" s="172" t="s">
        <v>13</v>
      </c>
      <c r="G16" s="191">
        <v>9</v>
      </c>
      <c r="I16" s="83">
        <f>+หมายเหตุ!J144</f>
        <v>158721.56</v>
      </c>
      <c r="J16" s="112"/>
      <c r="K16" s="83">
        <v>107366.77</v>
      </c>
      <c r="L16" s="71"/>
    </row>
    <row r="17" spans="3:14" ht="24.75" customHeight="1">
      <c r="C17" s="170" t="s">
        <v>14</v>
      </c>
      <c r="D17" s="170"/>
      <c r="E17" s="170"/>
      <c r="F17" s="192"/>
      <c r="G17" s="170"/>
      <c r="H17" s="170"/>
      <c r="I17" s="198">
        <f>SUM(I9:I16)</f>
        <v>261643390.72000003</v>
      </c>
      <c r="J17" s="86"/>
      <c r="K17" s="198">
        <f>SUM(K9:K16)</f>
        <v>236954683.51000002</v>
      </c>
      <c r="L17" s="71"/>
      <c r="N17" s="84"/>
    </row>
    <row r="18" spans="1:12" ht="24.75" customHeight="1">
      <c r="A18" s="170" t="s">
        <v>64</v>
      </c>
      <c r="F18" s="191"/>
      <c r="I18" s="71"/>
      <c r="K18" s="71"/>
      <c r="L18" s="71"/>
    </row>
    <row r="19" spans="2:12" ht="24.75" customHeight="1">
      <c r="B19" s="172" t="s">
        <v>15</v>
      </c>
      <c r="G19" s="191">
        <v>4</v>
      </c>
      <c r="I19" s="83">
        <f>หมายเหตุ!J73</f>
        <v>140000</v>
      </c>
      <c r="J19" s="112"/>
      <c r="K19" s="83">
        <v>140000</v>
      </c>
      <c r="L19" s="71"/>
    </row>
    <row r="20" spans="2:12" ht="24.75" customHeight="1">
      <c r="B20" s="172" t="s">
        <v>189</v>
      </c>
      <c r="G20" s="191">
        <v>5</v>
      </c>
      <c r="I20" s="83">
        <f>หมายเหตุ!H89</f>
        <v>164184739.3</v>
      </c>
      <c r="J20" s="112"/>
      <c r="K20" s="83">
        <v>147070974</v>
      </c>
      <c r="L20" s="71"/>
    </row>
    <row r="21" spans="2:12" ht="24.75" customHeight="1">
      <c r="B21" s="172" t="s">
        <v>16</v>
      </c>
      <c r="G21" s="191">
        <v>10</v>
      </c>
      <c r="I21" s="83">
        <f>หมายเหตุ!J159</f>
        <v>22001196.78</v>
      </c>
      <c r="J21" s="112"/>
      <c r="K21" s="83">
        <v>20554510.9</v>
      </c>
      <c r="L21" s="71"/>
    </row>
    <row r="22" spans="2:12" ht="24.75" customHeight="1">
      <c r="B22" s="172" t="s">
        <v>422</v>
      </c>
      <c r="G22" s="191">
        <v>11</v>
      </c>
      <c r="I22" s="83">
        <f>หมายเหตุ!J177</f>
        <v>100128.88</v>
      </c>
      <c r="J22" s="112"/>
      <c r="K22" s="83">
        <v>106193.32</v>
      </c>
      <c r="L22" s="71"/>
    </row>
    <row r="23" spans="3:12" ht="24.75" customHeight="1">
      <c r="C23" s="170" t="s">
        <v>65</v>
      </c>
      <c r="D23" s="170"/>
      <c r="E23" s="170"/>
      <c r="F23" s="192"/>
      <c r="G23" s="170"/>
      <c r="H23" s="170"/>
      <c r="I23" s="198">
        <f>SUM(I19:I22)</f>
        <v>186426064.96</v>
      </c>
      <c r="J23" s="86"/>
      <c r="K23" s="198">
        <f>SUM(K19:K22)</f>
        <v>167871678.22</v>
      </c>
      <c r="L23" s="71"/>
    </row>
    <row r="24" spans="3:14" s="170" customFormat="1" ht="24.75" customHeight="1" thickBot="1">
      <c r="C24" s="170" t="s">
        <v>17</v>
      </c>
      <c r="F24" s="192"/>
      <c r="I24" s="120">
        <f>SUM(I23,I17)</f>
        <v>448069455.68000007</v>
      </c>
      <c r="J24" s="86"/>
      <c r="K24" s="120">
        <f>SUM(K23,K17)</f>
        <v>404826361.73</v>
      </c>
      <c r="L24" s="146"/>
      <c r="M24" s="125"/>
      <c r="N24" s="84"/>
    </row>
    <row r="25" spans="3:14" ht="24.75" customHeight="1" thickTop="1">
      <c r="C25" s="170"/>
      <c r="F25" s="191"/>
      <c r="I25" s="146"/>
      <c r="K25" s="146"/>
      <c r="L25" s="146"/>
      <c r="N25" s="84"/>
    </row>
    <row r="34" spans="7:14" ht="24.75" customHeight="1">
      <c r="G34" s="191"/>
      <c r="K34" s="71"/>
      <c r="L34" s="71"/>
      <c r="N34" s="84"/>
    </row>
    <row r="35" spans="1:14" ht="24.75" customHeight="1">
      <c r="A35" s="325" t="s">
        <v>102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N35" s="84"/>
    </row>
    <row r="36" spans="7:14" ht="10.5" customHeight="1">
      <c r="G36" s="191"/>
      <c r="K36" s="71"/>
      <c r="L36" s="71"/>
      <c r="N36" s="84"/>
    </row>
    <row r="37" spans="9:12" ht="24.75" customHeight="1">
      <c r="I37" s="81" t="s">
        <v>730</v>
      </c>
      <c r="K37" s="81" t="s">
        <v>444</v>
      </c>
      <c r="L37" s="81"/>
    </row>
    <row r="38" spans="7:12" ht="24.75" customHeight="1">
      <c r="G38" s="189" t="s">
        <v>2</v>
      </c>
      <c r="I38" s="81" t="s">
        <v>9</v>
      </c>
      <c r="K38" s="81" t="s">
        <v>9</v>
      </c>
      <c r="L38" s="81"/>
    </row>
    <row r="39" spans="2:12" ht="24.75" customHeight="1">
      <c r="B39" s="190" t="s">
        <v>18</v>
      </c>
      <c r="F39" s="191"/>
      <c r="L39" s="71"/>
    </row>
    <row r="40" spans="1:12" ht="24.75" customHeight="1">
      <c r="A40" s="170" t="s">
        <v>19</v>
      </c>
      <c r="L40" s="71"/>
    </row>
    <row r="41" spans="2:12" ht="24.75" customHeight="1">
      <c r="B41" s="172" t="s">
        <v>118</v>
      </c>
      <c r="G41" s="191">
        <v>12</v>
      </c>
      <c r="I41" s="83">
        <f>หมายเหตุ!J193</f>
        <v>231730711.63</v>
      </c>
      <c r="J41" s="112"/>
      <c r="K41" s="83">
        <v>208500889.07</v>
      </c>
      <c r="L41" s="71"/>
    </row>
    <row r="42" spans="2:12" ht="24.75" customHeight="1">
      <c r="B42" s="172" t="s">
        <v>83</v>
      </c>
      <c r="G42" s="191"/>
      <c r="I42" s="83">
        <v>613.5</v>
      </c>
      <c r="J42" s="112"/>
      <c r="K42" s="193">
        <v>0</v>
      </c>
      <c r="L42" s="71"/>
    </row>
    <row r="43" spans="2:12" ht="24.75" customHeight="1">
      <c r="B43" s="172" t="s">
        <v>20</v>
      </c>
      <c r="G43" s="191">
        <v>13</v>
      </c>
      <c r="I43" s="83">
        <f>หมายเหตุ!J220</f>
        <v>112453963.59</v>
      </c>
      <c r="J43" s="112"/>
      <c r="K43" s="83">
        <v>98931746.1</v>
      </c>
      <c r="L43" s="71"/>
    </row>
    <row r="44" spans="2:12" ht="24.75" customHeight="1">
      <c r="B44" s="172" t="s">
        <v>21</v>
      </c>
      <c r="G44" s="191">
        <v>14</v>
      </c>
      <c r="I44" s="83">
        <f>หมายเหตุ!J235</f>
        <v>1445925.36</v>
      </c>
      <c r="J44" s="112"/>
      <c r="K44" s="83">
        <v>1345678.97</v>
      </c>
      <c r="L44" s="71"/>
    </row>
    <row r="45" spans="3:14" ht="24.75" customHeight="1">
      <c r="C45" s="172" t="s">
        <v>22</v>
      </c>
      <c r="G45" s="191"/>
      <c r="I45" s="130">
        <f>SUM(I41:I44)</f>
        <v>345631214.08000004</v>
      </c>
      <c r="J45" s="112"/>
      <c r="K45" s="130">
        <f>SUM(K41:K44)</f>
        <v>308778314.14</v>
      </c>
      <c r="L45" s="71"/>
      <c r="N45" s="84"/>
    </row>
    <row r="46" spans="1:12" ht="24.75" customHeight="1">
      <c r="A46" s="170" t="s">
        <v>66</v>
      </c>
      <c r="G46" s="191"/>
      <c r="I46" s="112"/>
      <c r="J46" s="112"/>
      <c r="K46" s="83"/>
      <c r="L46" s="71"/>
    </row>
    <row r="47" spans="2:12" ht="24.75" customHeight="1">
      <c r="B47" s="172" t="s">
        <v>67</v>
      </c>
      <c r="G47" s="191">
        <v>15</v>
      </c>
      <c r="I47" s="83">
        <f>หมายเหตุ!J249</f>
        <v>12602494.42</v>
      </c>
      <c r="J47" s="112"/>
      <c r="K47" s="83">
        <v>12445821.52</v>
      </c>
      <c r="L47" s="71"/>
    </row>
    <row r="48" spans="3:12" ht="24.75" customHeight="1">
      <c r="C48" s="170" t="s">
        <v>68</v>
      </c>
      <c r="D48" s="170"/>
      <c r="E48" s="170"/>
      <c r="F48" s="192"/>
      <c r="G48" s="170"/>
      <c r="H48" s="170"/>
      <c r="I48" s="198">
        <f>SUM(I47)</f>
        <v>12602494.42</v>
      </c>
      <c r="J48" s="86"/>
      <c r="K48" s="198">
        <f>SUM(K47:K47)</f>
        <v>12445821.52</v>
      </c>
      <c r="L48" s="71"/>
    </row>
    <row r="49" spans="3:14" ht="24.75" customHeight="1">
      <c r="C49" s="170" t="s">
        <v>23</v>
      </c>
      <c r="D49" s="170"/>
      <c r="E49" s="170"/>
      <c r="F49" s="192"/>
      <c r="G49" s="170"/>
      <c r="H49" s="170"/>
      <c r="I49" s="198">
        <f>SUM(I48,I45)</f>
        <v>358233708.50000006</v>
      </c>
      <c r="J49" s="86"/>
      <c r="K49" s="198">
        <f>SUM(K48,K45)</f>
        <v>321224135.65999997</v>
      </c>
      <c r="L49" s="71"/>
      <c r="N49" s="84"/>
    </row>
    <row r="50" ht="24.75" customHeight="1">
      <c r="A50" s="170" t="s">
        <v>24</v>
      </c>
    </row>
    <row r="51" spans="2:6" ht="24.75" customHeight="1">
      <c r="B51" s="172" t="s">
        <v>25</v>
      </c>
      <c r="F51" s="191"/>
    </row>
    <row r="52" spans="3:11" ht="24.75" customHeight="1">
      <c r="C52" s="172" t="s">
        <v>96</v>
      </c>
      <c r="F52" s="191"/>
      <c r="I52" s="83">
        <f>กระดาษทำการงบทดลองเครื่อง!T135</f>
        <v>65162200</v>
      </c>
      <c r="J52" s="112"/>
      <c r="K52" s="83">
        <v>60016250</v>
      </c>
    </row>
    <row r="53" spans="2:11" ht="24.75" customHeight="1">
      <c r="B53" s="172" t="s">
        <v>26</v>
      </c>
      <c r="F53" s="191"/>
      <c r="I53" s="83">
        <f>กระดาษทำการงบทดลองเครื่อง!T136</f>
        <v>12502111.47</v>
      </c>
      <c r="J53" s="112"/>
      <c r="K53" s="83">
        <v>10013178.47</v>
      </c>
    </row>
    <row r="54" spans="2:11" ht="24.75" customHeight="1">
      <c r="B54" s="172" t="s">
        <v>27</v>
      </c>
      <c r="G54" s="191">
        <v>16</v>
      </c>
      <c r="I54" s="83">
        <f>หมายเหตุ!J263</f>
        <v>6222359.1</v>
      </c>
      <c r="J54" s="112"/>
      <c r="K54" s="83">
        <v>5360751.1</v>
      </c>
    </row>
    <row r="55" spans="2:11" ht="24.75" customHeight="1">
      <c r="B55" s="172" t="s">
        <v>190</v>
      </c>
      <c r="F55" s="191"/>
      <c r="I55" s="176">
        <f>กำไรขาดทุน!E17</f>
        <v>5949076.6099999845</v>
      </c>
      <c r="J55" s="112"/>
      <c r="K55" s="116">
        <v>8212046.5</v>
      </c>
    </row>
    <row r="56" spans="3:11" ht="24.75" customHeight="1">
      <c r="C56" s="170" t="s">
        <v>28</v>
      </c>
      <c r="F56" s="191"/>
      <c r="I56" s="118">
        <f>SUM(I52:I55)</f>
        <v>89835747.17999998</v>
      </c>
      <c r="J56" s="86"/>
      <c r="K56" s="118">
        <f>SUM(K52:K55)</f>
        <v>83602226.07</v>
      </c>
    </row>
    <row r="57" spans="3:16" s="170" customFormat="1" ht="24.75" customHeight="1" thickBot="1">
      <c r="C57" s="170" t="s">
        <v>29</v>
      </c>
      <c r="F57" s="192"/>
      <c r="I57" s="120">
        <f>I56+I49</f>
        <v>448069455.68000007</v>
      </c>
      <c r="J57" s="86"/>
      <c r="K57" s="120">
        <f>SUM(K56,K49)</f>
        <v>404826361.72999996</v>
      </c>
      <c r="L57" s="125"/>
      <c r="M57" s="125"/>
      <c r="N57" s="84">
        <f>I57-I24</f>
        <v>0</v>
      </c>
      <c r="O57" s="84"/>
      <c r="P57" s="194"/>
    </row>
    <row r="58" ht="24.75" customHeight="1" thickTop="1">
      <c r="F58" s="191"/>
    </row>
    <row r="59" ht="24.75" customHeight="1">
      <c r="A59" s="170" t="s">
        <v>30</v>
      </c>
    </row>
    <row r="60" ht="24.75" customHeight="1"/>
    <row r="61" spans="7:11" ht="24.75" customHeight="1">
      <c r="G61" s="191"/>
      <c r="H61" s="191"/>
      <c r="I61" s="195"/>
      <c r="J61" s="195"/>
      <c r="K61" s="195"/>
    </row>
    <row r="62" spans="7:11" ht="24.75" customHeight="1">
      <c r="G62" s="323" t="s">
        <v>872</v>
      </c>
      <c r="H62" s="323"/>
      <c r="I62" s="323"/>
      <c r="J62" s="195"/>
      <c r="K62" s="195"/>
    </row>
    <row r="63" spans="7:15" ht="24.75" customHeight="1">
      <c r="G63" s="323" t="s">
        <v>873</v>
      </c>
      <c r="H63" s="323"/>
      <c r="I63" s="323"/>
      <c r="J63" s="195"/>
      <c r="K63" s="195"/>
      <c r="O63" s="196"/>
    </row>
    <row r="64" spans="7:9" ht="24.75" customHeight="1">
      <c r="G64" s="197"/>
      <c r="H64" s="197"/>
      <c r="I64" s="197"/>
    </row>
    <row r="65" spans="10:11" ht="24.75" customHeight="1">
      <c r="J65" s="195"/>
      <c r="K65" s="195"/>
    </row>
    <row r="66" spans="7:11" ht="24.75" customHeight="1">
      <c r="G66" s="323" t="s">
        <v>874</v>
      </c>
      <c r="H66" s="323"/>
      <c r="I66" s="323"/>
      <c r="J66" s="195"/>
      <c r="K66" s="195"/>
    </row>
    <row r="67" spans="7:11" ht="24.75" customHeight="1">
      <c r="G67" s="323" t="s">
        <v>875</v>
      </c>
      <c r="H67" s="323"/>
      <c r="I67" s="323"/>
      <c r="J67" s="195"/>
      <c r="K67" s="195"/>
    </row>
    <row r="68" spans="7:11" ht="24.75" customHeight="1">
      <c r="G68" s="323" t="s">
        <v>920</v>
      </c>
      <c r="H68" s="323"/>
      <c r="I68" s="323"/>
      <c r="J68" s="195"/>
      <c r="K68" s="195"/>
    </row>
    <row r="69" spans="1:4" ht="24.75" customHeight="1">
      <c r="A69" s="323"/>
      <c r="B69" s="323"/>
      <c r="C69" s="323"/>
      <c r="D69" s="323"/>
    </row>
    <row r="70" spans="1:4" ht="24.75" customHeight="1">
      <c r="A70" s="323"/>
      <c r="B70" s="323"/>
      <c r="C70" s="323"/>
      <c r="D70" s="323"/>
    </row>
    <row r="71" spans="1:4" ht="24.75" customHeight="1">
      <c r="A71" s="323"/>
      <c r="B71" s="323"/>
      <c r="C71" s="323"/>
      <c r="D71" s="323"/>
    </row>
    <row r="72" spans="1:4" ht="21">
      <c r="A72" s="323"/>
      <c r="B72" s="323"/>
      <c r="C72" s="323"/>
      <c r="D72" s="323"/>
    </row>
  </sheetData>
  <sheetProtection/>
  <mergeCells count="13">
    <mergeCell ref="G66:I66"/>
    <mergeCell ref="A35:L35"/>
    <mergeCell ref="A3:L3"/>
    <mergeCell ref="A72:D72"/>
    <mergeCell ref="A71:D71"/>
    <mergeCell ref="A69:D69"/>
    <mergeCell ref="A70:D70"/>
    <mergeCell ref="A2:L2"/>
    <mergeCell ref="A1:L1"/>
    <mergeCell ref="G67:I67"/>
    <mergeCell ref="G68:I68"/>
    <mergeCell ref="G62:I62"/>
    <mergeCell ref="G63:I63"/>
  </mergeCells>
  <printOptions horizontalCentered="1"/>
  <pageMargins left="0.5511811023622047" right="0.1968503937007874" top="0.7874015748031497" bottom="0.3937007874015748" header="0.1968503937007874" footer="0.1968503937007874"/>
  <pageSetup blackAndWhite="1" horizontalDpi="300" verticalDpi="300" orientation="portrait" paperSize="9" scale="90" r:id="rId1"/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M194"/>
  <sheetViews>
    <sheetView zoomScaleSheetLayoutView="100" zoomScalePageLayoutView="0" workbookViewId="0" topLeftCell="A3">
      <selection activeCell="E17" sqref="E17"/>
    </sheetView>
  </sheetViews>
  <sheetFormatPr defaultColWidth="9.140625" defaultRowHeight="21.75"/>
  <cols>
    <col min="1" max="1" width="6.7109375" style="153" customWidth="1"/>
    <col min="2" max="3" width="5.7109375" style="153" customWidth="1"/>
    <col min="4" max="4" width="24.57421875" style="153" customWidth="1"/>
    <col min="5" max="5" width="17.140625" style="152" customWidth="1"/>
    <col min="6" max="6" width="2.7109375" style="153" customWidth="1"/>
    <col min="7" max="7" width="8.00390625" style="220" bestFit="1" customWidth="1"/>
    <col min="8" max="8" width="2.7109375" style="153" customWidth="1"/>
    <col min="9" max="9" width="15.8515625" style="153" customWidth="1"/>
    <col min="10" max="10" width="2.7109375" style="153" customWidth="1"/>
    <col min="11" max="11" width="8.8515625" style="161" customWidth="1"/>
    <col min="12" max="12" width="2.7109375" style="153" customWidth="1"/>
    <col min="13" max="16384" width="9.140625" style="153" customWidth="1"/>
  </cols>
  <sheetData>
    <row r="1" spans="1:11" ht="21">
      <c r="A1" s="326" t="s">
        <v>132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21">
      <c r="A2" s="326" t="s">
        <v>31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ht="21">
      <c r="A3" s="326" t="s">
        <v>732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ht="21">
      <c r="A4" s="150"/>
      <c r="B4" s="150"/>
      <c r="C4" s="150"/>
      <c r="D4" s="150"/>
      <c r="E4" s="150"/>
      <c r="F4" s="150"/>
      <c r="G4" s="199"/>
      <c r="H4" s="150"/>
      <c r="I4" s="150"/>
      <c r="J4" s="150"/>
      <c r="K4" s="150"/>
    </row>
    <row r="5" spans="1:11" ht="21">
      <c r="A5" s="150"/>
      <c r="B5" s="150"/>
      <c r="C5" s="150"/>
      <c r="D5" s="150"/>
      <c r="E5" s="327" t="s">
        <v>730</v>
      </c>
      <c r="F5" s="327"/>
      <c r="G5" s="327"/>
      <c r="H5" s="150"/>
      <c r="I5" s="327" t="s">
        <v>444</v>
      </c>
      <c r="J5" s="327"/>
      <c r="K5" s="327"/>
    </row>
    <row r="6" spans="5:11" ht="23.25" customHeight="1">
      <c r="E6" s="201" t="s">
        <v>9</v>
      </c>
      <c r="G6" s="202" t="s">
        <v>32</v>
      </c>
      <c r="H6" s="200"/>
      <c r="I6" s="200" t="s">
        <v>9</v>
      </c>
      <c r="J6" s="150"/>
      <c r="K6" s="200" t="s">
        <v>32</v>
      </c>
    </row>
    <row r="7" spans="1:13" ht="23.25" customHeight="1">
      <c r="A7" s="153" t="s">
        <v>33</v>
      </c>
      <c r="E7" s="203">
        <f>สินเชื่อ!E10+จัดหา!E24+กาแฟ!E9+D6+รวบรวมผลิตผล!E7</f>
        <v>233762433.14999998</v>
      </c>
      <c r="F7" s="204"/>
      <c r="G7" s="205">
        <v>100</v>
      </c>
      <c r="H7" s="206"/>
      <c r="I7" s="207">
        <v>198505916.94</v>
      </c>
      <c r="J7" s="206"/>
      <c r="K7" s="205">
        <v>100</v>
      </c>
      <c r="M7" s="153">
        <v>100</v>
      </c>
    </row>
    <row r="8" spans="1:13" ht="23.25" customHeight="1">
      <c r="A8" s="158" t="s">
        <v>912</v>
      </c>
      <c r="B8" s="208"/>
      <c r="C8" s="209"/>
      <c r="D8" s="209"/>
      <c r="E8" s="210">
        <f>'ต้นทุน 2'!F13</f>
        <v>211565966</v>
      </c>
      <c r="F8" s="211"/>
      <c r="G8" s="212">
        <f>+E8*100/E7</f>
        <v>90.50469023148942</v>
      </c>
      <c r="H8" s="206"/>
      <c r="I8" s="210">
        <v>176790070.83</v>
      </c>
      <c r="J8" s="206"/>
      <c r="K8" s="213">
        <v>89.06</v>
      </c>
      <c r="M8" s="153">
        <f>(E8*$M$7)/$E$7</f>
        <v>90.50469023148942</v>
      </c>
    </row>
    <row r="9" spans="1:13" ht="23.25" customHeight="1">
      <c r="A9" s="153" t="s">
        <v>34</v>
      </c>
      <c r="E9" s="203">
        <f>+E7-E8</f>
        <v>22196467.149999976</v>
      </c>
      <c r="F9" s="204"/>
      <c r="G9" s="214">
        <f>+E9*100/E7</f>
        <v>9.495309768510586</v>
      </c>
      <c r="H9" s="206"/>
      <c r="I9" s="207">
        <f>I7-I8</f>
        <v>21715846.109999985</v>
      </c>
      <c r="J9" s="207"/>
      <c r="K9" s="215">
        <f>K7-K8</f>
        <v>10.939999999999998</v>
      </c>
      <c r="M9" s="153">
        <f aca="true" t="shared" si="0" ref="M9:M17">(E9*$M$7)/$E$7</f>
        <v>9.495309768510586</v>
      </c>
    </row>
    <row r="10" spans="1:13" ht="23.25" customHeight="1">
      <c r="A10" s="158" t="s">
        <v>913</v>
      </c>
      <c r="E10" s="210">
        <f>สินเชื่อ!E17+จัดหา!E31+รวบรวมผลิตผล!E16+กาแฟ!E14</f>
        <v>1461869</v>
      </c>
      <c r="F10" s="204"/>
      <c r="G10" s="212">
        <f>+E10*100/E7</f>
        <v>0.6253652395301482</v>
      </c>
      <c r="H10" s="206"/>
      <c r="I10" s="210">
        <v>1326045.01</v>
      </c>
      <c r="J10" s="206"/>
      <c r="K10" s="213">
        <v>0.67</v>
      </c>
      <c r="M10" s="153">
        <f t="shared" si="0"/>
        <v>0.6253652395301482</v>
      </c>
    </row>
    <row r="11" spans="5:13" ht="23.25" customHeight="1">
      <c r="E11" s="203">
        <f>E9+E10</f>
        <v>23658336.149999976</v>
      </c>
      <c r="F11" s="204"/>
      <c r="G11" s="216">
        <v>10.13</v>
      </c>
      <c r="H11" s="206"/>
      <c r="I11" s="207">
        <f>SUM(I9:I10)</f>
        <v>23041891.119999986</v>
      </c>
      <c r="J11" s="207"/>
      <c r="K11" s="215">
        <v>11.61</v>
      </c>
      <c r="M11" s="153">
        <f t="shared" si="0"/>
        <v>10.120675008040735</v>
      </c>
    </row>
    <row r="12" spans="1:13" ht="23.25" customHeight="1">
      <c r="A12" s="158" t="s">
        <v>914</v>
      </c>
      <c r="E12" s="210">
        <f>สินเชื่อ!E24+จัดหา!E47+F13+ส่งเสริมการเกษตร!E17+กาแฟ!E19+รวบรวมผลิตผล!E24</f>
        <v>6109955.12</v>
      </c>
      <c r="F12" s="204"/>
      <c r="G12" s="212">
        <f>+E12*100/E7</f>
        <v>2.613745518331161</v>
      </c>
      <c r="H12" s="206"/>
      <c r="I12" s="210">
        <v>5254898.66</v>
      </c>
      <c r="J12" s="206"/>
      <c r="K12" s="213">
        <v>2.65</v>
      </c>
      <c r="M12" s="153">
        <f t="shared" si="0"/>
        <v>2.613745518331161</v>
      </c>
    </row>
    <row r="13" spans="1:13" ht="23.25" customHeight="1">
      <c r="A13" s="153" t="s">
        <v>935</v>
      </c>
      <c r="E13" s="203">
        <f>+สินเชื่อ!E25+จัดหา!E48+ส่งเสริมการเกษตร!E18+กาแฟ!E20+รวบรวมผลิตผล!E25</f>
        <v>17548381.02999999</v>
      </c>
      <c r="F13" s="204"/>
      <c r="G13" s="216">
        <v>7.51</v>
      </c>
      <c r="H13" s="206"/>
      <c r="I13" s="217">
        <f>I11-I12</f>
        <v>17786992.459999986</v>
      </c>
      <c r="J13" s="207"/>
      <c r="K13" s="215">
        <v>8.96</v>
      </c>
      <c r="M13" s="153">
        <f t="shared" si="0"/>
        <v>7.50692948970958</v>
      </c>
    </row>
    <row r="14" spans="1:13" ht="23.25" customHeight="1">
      <c r="A14" s="158" t="s">
        <v>932</v>
      </c>
      <c r="E14" s="210">
        <f>รายได้!C21</f>
        <v>1726150.99</v>
      </c>
      <c r="F14" s="204"/>
      <c r="G14" s="212">
        <f>+E14*100/E7</f>
        <v>0.7384210400019102</v>
      </c>
      <c r="H14" s="206"/>
      <c r="I14" s="210">
        <v>964434.73</v>
      </c>
      <c r="J14" s="206"/>
      <c r="K14" s="213">
        <v>0.49</v>
      </c>
      <c r="M14" s="153">
        <f t="shared" si="0"/>
        <v>0.7384210400019102</v>
      </c>
    </row>
    <row r="15" spans="4:13" ht="23.25" customHeight="1">
      <c r="D15" s="153" t="s">
        <v>1</v>
      </c>
      <c r="E15" s="203">
        <f>+E13+E14</f>
        <v>19274532.01999999</v>
      </c>
      <c r="F15" s="204"/>
      <c r="G15" s="216">
        <v>8.25</v>
      </c>
      <c r="H15" s="206"/>
      <c r="I15" s="207">
        <f>SUM(I13:I14)</f>
        <v>18751427.189999986</v>
      </c>
      <c r="J15" s="207"/>
      <c r="K15" s="215">
        <v>9.45</v>
      </c>
      <c r="M15" s="153">
        <f t="shared" si="0"/>
        <v>8.245350529711489</v>
      </c>
    </row>
    <row r="16" spans="1:13" ht="23.25" customHeight="1">
      <c r="A16" s="158" t="s">
        <v>933</v>
      </c>
      <c r="E16" s="210">
        <f>ค่าใช้จ่าย!B47</f>
        <v>13325455.410000004</v>
      </c>
      <c r="F16" s="204"/>
      <c r="G16" s="212">
        <f>+E16*100/E7</f>
        <v>5.700426381791366</v>
      </c>
      <c r="H16" s="206"/>
      <c r="I16" s="210">
        <v>10539380.69</v>
      </c>
      <c r="J16" s="206"/>
      <c r="K16" s="213">
        <f>I16*K7/I7</f>
        <v>5.30935342002204</v>
      </c>
      <c r="M16" s="153">
        <f t="shared" si="0"/>
        <v>5.700426381791366</v>
      </c>
    </row>
    <row r="17" spans="1:13" s="155" customFormat="1" ht="23.25" customHeight="1" thickBot="1">
      <c r="A17" s="155" t="s">
        <v>187</v>
      </c>
      <c r="B17" s="153"/>
      <c r="C17" s="153"/>
      <c r="D17" s="153"/>
      <c r="E17" s="218">
        <f>SUM(E15-E16)</f>
        <v>5949076.6099999845</v>
      </c>
      <c r="F17" s="207"/>
      <c r="G17" s="219">
        <v>2.55</v>
      </c>
      <c r="H17" s="207"/>
      <c r="I17" s="218">
        <f>SUM(I15-I16)</f>
        <v>8212046.499999987</v>
      </c>
      <c r="J17" s="207"/>
      <c r="K17" s="219">
        <v>4.14</v>
      </c>
      <c r="M17" s="153">
        <f t="shared" si="0"/>
        <v>2.5449241479201232</v>
      </c>
    </row>
    <row r="18" spans="5:11" ht="21.75" thickTop="1">
      <c r="E18" s="152">
        <f>+E17-งบแสดงฐานะ!I55</f>
        <v>0</v>
      </c>
      <c r="I18" s="221"/>
      <c r="J18" s="172"/>
      <c r="K18" s="192"/>
    </row>
    <row r="19" ht="21">
      <c r="I19" s="152"/>
    </row>
    <row r="20" ht="21">
      <c r="I20" s="152"/>
    </row>
    <row r="21" ht="21">
      <c r="I21" s="152"/>
    </row>
    <row r="22" ht="21">
      <c r="I22" s="152"/>
    </row>
    <row r="23" ht="21">
      <c r="I23" s="152"/>
    </row>
    <row r="24" ht="21">
      <c r="I24" s="152"/>
    </row>
    <row r="25" ht="21">
      <c r="I25" s="152"/>
    </row>
    <row r="26" ht="21">
      <c r="I26" s="152"/>
    </row>
    <row r="27" ht="21">
      <c r="I27" s="152"/>
    </row>
    <row r="28" ht="21">
      <c r="I28" s="152"/>
    </row>
    <row r="29" ht="21">
      <c r="I29" s="152"/>
    </row>
    <row r="30" ht="21">
      <c r="I30" s="152"/>
    </row>
    <row r="31" ht="21">
      <c r="I31" s="152"/>
    </row>
    <row r="53" spans="1:5" ht="21">
      <c r="A53" s="155"/>
      <c r="B53" s="155"/>
      <c r="C53" s="155"/>
      <c r="D53" s="155"/>
      <c r="E53" s="164"/>
    </row>
    <row r="54" spans="1:5" ht="21">
      <c r="A54" s="155"/>
      <c r="B54" s="155"/>
      <c r="C54" s="155"/>
      <c r="D54" s="155"/>
      <c r="E54" s="164"/>
    </row>
    <row r="55" spans="1:11" ht="21">
      <c r="A55" s="155"/>
      <c r="B55" s="155"/>
      <c r="C55" s="155"/>
      <c r="D55" s="155"/>
      <c r="E55" s="164"/>
      <c r="F55" s="155"/>
      <c r="G55" s="199"/>
      <c r="H55" s="170"/>
      <c r="I55" s="221"/>
      <c r="J55" s="221"/>
      <c r="K55" s="222"/>
    </row>
    <row r="56" spans="1:11" ht="21">
      <c r="A56" s="155"/>
      <c r="B56" s="155"/>
      <c r="C56" s="155"/>
      <c r="D56" s="155"/>
      <c r="E56" s="164"/>
      <c r="F56" s="155"/>
      <c r="G56" s="199"/>
      <c r="H56" s="155"/>
      <c r="I56" s="221"/>
      <c r="J56" s="221"/>
      <c r="K56" s="222"/>
    </row>
    <row r="57" spans="1:11" ht="21">
      <c r="A57" s="155"/>
      <c r="B57" s="155"/>
      <c r="C57" s="155"/>
      <c r="D57" s="155"/>
      <c r="E57" s="164"/>
      <c r="F57" s="155"/>
      <c r="G57" s="199"/>
      <c r="H57" s="155"/>
      <c r="I57" s="221"/>
      <c r="J57" s="221"/>
      <c r="K57" s="222"/>
    </row>
    <row r="58" spans="1:11" ht="21">
      <c r="A58" s="155"/>
      <c r="B58" s="155"/>
      <c r="C58" s="155"/>
      <c r="D58" s="155"/>
      <c r="E58" s="164"/>
      <c r="F58" s="155"/>
      <c r="G58" s="199"/>
      <c r="H58" s="155"/>
      <c r="I58" s="221"/>
      <c r="J58" s="221"/>
      <c r="K58" s="222"/>
    </row>
    <row r="59" spans="1:11" ht="21">
      <c r="A59" s="155"/>
      <c r="B59" s="155"/>
      <c r="C59" s="155"/>
      <c r="D59" s="155"/>
      <c r="E59" s="164"/>
      <c r="F59" s="155"/>
      <c r="G59" s="199"/>
      <c r="H59" s="155"/>
      <c r="I59" s="221"/>
      <c r="J59" s="221"/>
      <c r="K59" s="222"/>
    </row>
    <row r="60" spans="1:11" ht="21">
      <c r="A60" s="155"/>
      <c r="B60" s="155"/>
      <c r="C60" s="155"/>
      <c r="D60" s="155"/>
      <c r="E60" s="164"/>
      <c r="F60" s="155"/>
      <c r="G60" s="199"/>
      <c r="H60" s="155"/>
      <c r="I60" s="221"/>
      <c r="J60" s="221"/>
      <c r="K60" s="222"/>
    </row>
    <row r="61" spans="1:11" ht="21">
      <c r="A61" s="155"/>
      <c r="B61" s="155"/>
      <c r="C61" s="155"/>
      <c r="D61" s="155"/>
      <c r="E61" s="164"/>
      <c r="F61" s="155"/>
      <c r="G61" s="199"/>
      <c r="H61" s="155"/>
      <c r="I61" s="221"/>
      <c r="J61" s="221"/>
      <c r="K61" s="222"/>
    </row>
    <row r="62" spans="1:11" ht="21">
      <c r="A62" s="155"/>
      <c r="B62" s="155"/>
      <c r="C62" s="155"/>
      <c r="D62" s="155"/>
      <c r="E62" s="164"/>
      <c r="F62" s="155"/>
      <c r="G62" s="199"/>
      <c r="H62" s="155"/>
      <c r="I62" s="221"/>
      <c r="J62" s="221"/>
      <c r="K62" s="222"/>
    </row>
    <row r="63" spans="1:11" ht="21">
      <c r="A63" s="155"/>
      <c r="B63" s="155"/>
      <c r="C63" s="155"/>
      <c r="D63" s="155"/>
      <c r="E63" s="164"/>
      <c r="F63" s="155"/>
      <c r="G63" s="199"/>
      <c r="H63" s="155"/>
      <c r="I63" s="221"/>
      <c r="J63" s="221"/>
      <c r="K63" s="222"/>
    </row>
    <row r="64" spans="1:11" ht="21">
      <c r="A64" s="155"/>
      <c r="B64" s="155"/>
      <c r="C64" s="155"/>
      <c r="D64" s="155"/>
      <c r="E64" s="164"/>
      <c r="F64" s="155"/>
      <c r="G64" s="199"/>
      <c r="H64" s="155"/>
      <c r="I64" s="221"/>
      <c r="J64" s="221"/>
      <c r="K64" s="222"/>
    </row>
    <row r="65" spans="1:11" ht="21">
      <c r="A65" s="155"/>
      <c r="B65" s="155"/>
      <c r="C65" s="155"/>
      <c r="D65" s="155"/>
      <c r="E65" s="164"/>
      <c r="F65" s="155"/>
      <c r="G65" s="199"/>
      <c r="H65" s="155"/>
      <c r="I65" s="221"/>
      <c r="J65" s="221"/>
      <c r="K65" s="222"/>
    </row>
    <row r="66" spans="6:11" ht="21">
      <c r="F66" s="155"/>
      <c r="G66" s="199"/>
      <c r="H66" s="155"/>
      <c r="I66" s="221"/>
      <c r="J66" s="221"/>
      <c r="K66" s="222"/>
    </row>
    <row r="67" spans="6:11" ht="21">
      <c r="F67" s="155"/>
      <c r="G67" s="199"/>
      <c r="H67" s="155"/>
      <c r="I67" s="221"/>
      <c r="J67" s="221"/>
      <c r="K67" s="222"/>
    </row>
    <row r="99" ht="21">
      <c r="A99" s="155"/>
    </row>
    <row r="100" ht="21">
      <c r="A100" s="155"/>
    </row>
    <row r="101" spans="1:11" ht="21">
      <c r="A101" s="155"/>
      <c r="I101" s="221"/>
      <c r="J101" s="172"/>
      <c r="K101" s="222"/>
    </row>
    <row r="102" spans="9:11" ht="21">
      <c r="I102" s="221"/>
      <c r="J102" s="172"/>
      <c r="K102" s="222"/>
    </row>
    <row r="103" spans="9:11" ht="21">
      <c r="I103" s="221"/>
      <c r="J103" s="172"/>
      <c r="K103" s="222"/>
    </row>
    <row r="119" spans="1:5" ht="21">
      <c r="A119" s="155"/>
      <c r="B119" s="155"/>
      <c r="C119" s="155"/>
      <c r="D119" s="155"/>
      <c r="E119" s="164"/>
    </row>
    <row r="120" ht="21">
      <c r="A120" s="155"/>
    </row>
    <row r="121" spans="1:11" s="155" customFormat="1" ht="21">
      <c r="A121" s="153"/>
      <c r="B121" s="153"/>
      <c r="C121" s="153"/>
      <c r="D121" s="153"/>
      <c r="E121" s="152"/>
      <c r="G121" s="199"/>
      <c r="I121" s="221"/>
      <c r="J121" s="221"/>
      <c r="K121" s="223"/>
    </row>
    <row r="122" spans="9:11" ht="21">
      <c r="I122" s="224"/>
      <c r="J122" s="221"/>
      <c r="K122" s="225"/>
    </row>
    <row r="138" ht="21">
      <c r="I138" s="152"/>
    </row>
    <row r="139" ht="21">
      <c r="I139" s="152"/>
    </row>
    <row r="140" ht="21">
      <c r="I140" s="152"/>
    </row>
    <row r="177" ht="21">
      <c r="A177" s="165"/>
    </row>
    <row r="178" spans="9:11" ht="21">
      <c r="I178" s="226"/>
      <c r="J178" s="172"/>
      <c r="K178" s="227"/>
    </row>
    <row r="179" spans="1:11" ht="21">
      <c r="A179" s="165"/>
      <c r="I179" s="226"/>
      <c r="J179" s="172"/>
      <c r="K179" s="227"/>
    </row>
    <row r="180" spans="9:11" ht="21">
      <c r="I180" s="226"/>
      <c r="J180" s="172"/>
      <c r="K180" s="227"/>
    </row>
    <row r="181" spans="9:11" ht="21">
      <c r="I181" s="226"/>
      <c r="J181" s="172"/>
      <c r="K181" s="227"/>
    </row>
    <row r="182" spans="1:11" ht="21">
      <c r="A182" s="165"/>
      <c r="I182" s="226"/>
      <c r="J182" s="172"/>
      <c r="K182" s="227"/>
    </row>
    <row r="183" spans="9:11" ht="21">
      <c r="I183" s="226"/>
      <c r="J183" s="172"/>
      <c r="K183" s="227"/>
    </row>
    <row r="184" spans="9:11" ht="21">
      <c r="I184" s="228"/>
      <c r="J184" s="172"/>
      <c r="K184" s="227"/>
    </row>
    <row r="185" spans="9:11" ht="21">
      <c r="I185" s="226"/>
      <c r="J185" s="172"/>
      <c r="K185" s="227"/>
    </row>
    <row r="186" spans="9:11" ht="21">
      <c r="I186" s="226"/>
      <c r="J186" s="172"/>
      <c r="K186" s="227"/>
    </row>
    <row r="194" ht="21">
      <c r="A194" s="155"/>
    </row>
  </sheetData>
  <sheetProtection/>
  <mergeCells count="5">
    <mergeCell ref="A1:K1"/>
    <mergeCell ref="A2:K2"/>
    <mergeCell ref="A3:K3"/>
    <mergeCell ref="I5:K5"/>
    <mergeCell ref="E5:G5"/>
  </mergeCells>
  <printOptions horizontalCentered="1"/>
  <pageMargins left="0.7480314960629921" right="0.3937007874015748" top="0.984251968503937" bottom="0.3937007874015748" header="0" footer="0"/>
  <pageSetup blackAndWhite="1" horizontalDpi="204" verticalDpi="204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O26"/>
  <sheetViews>
    <sheetView zoomScaleSheetLayoutView="100" zoomScalePageLayoutView="0" workbookViewId="0" topLeftCell="A14">
      <selection activeCell="E23" sqref="E23"/>
    </sheetView>
  </sheetViews>
  <sheetFormatPr defaultColWidth="9.140625" defaultRowHeight="23.25" customHeight="1"/>
  <cols>
    <col min="1" max="1" width="4.57421875" style="153" customWidth="1"/>
    <col min="2" max="2" width="4.7109375" style="153" customWidth="1"/>
    <col min="3" max="3" width="10.140625" style="153" customWidth="1"/>
    <col min="4" max="4" width="32.8515625" style="153" customWidth="1"/>
    <col min="5" max="5" width="16.57421875" style="109" customWidth="1"/>
    <col min="6" max="6" width="2.7109375" style="70" customWidth="1"/>
    <col min="7" max="7" width="7.57421875" style="232" customWidth="1"/>
    <col min="8" max="8" width="2.7109375" style="70" customWidth="1"/>
    <col min="9" max="9" width="15.421875" style="109" customWidth="1"/>
    <col min="10" max="10" width="2.7109375" style="153" customWidth="1"/>
    <col min="11" max="11" width="8.00390625" style="233" bestFit="1" customWidth="1"/>
    <col min="12" max="12" width="12.7109375" style="231" customWidth="1"/>
    <col min="13" max="15" width="16.57421875" style="153" customWidth="1"/>
    <col min="16" max="16384" width="9.140625" style="153" customWidth="1"/>
  </cols>
  <sheetData>
    <row r="1" spans="5:13" ht="23.25" customHeight="1">
      <c r="E1" s="119"/>
      <c r="G1" s="161"/>
      <c r="H1" s="249"/>
      <c r="I1" s="229"/>
      <c r="J1" s="229"/>
      <c r="K1" s="278" t="s">
        <v>338</v>
      </c>
      <c r="M1" s="152"/>
    </row>
    <row r="2" spans="5:13" ht="12" customHeight="1">
      <c r="E2" s="119"/>
      <c r="M2" s="152"/>
    </row>
    <row r="3" spans="1:13" ht="23.25" customHeight="1">
      <c r="A3" s="328" t="s">
        <v>105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M3" s="152"/>
    </row>
    <row r="4" spans="1:13" ht="12" customHeight="1">
      <c r="A4" s="200"/>
      <c r="B4" s="200"/>
      <c r="C4" s="200"/>
      <c r="D4" s="200"/>
      <c r="E4" s="110"/>
      <c r="F4" s="80"/>
      <c r="G4" s="110"/>
      <c r="H4" s="80"/>
      <c r="I4" s="110"/>
      <c r="J4" s="200"/>
      <c r="K4" s="154"/>
      <c r="M4" s="152"/>
    </row>
    <row r="5" spans="5:13" ht="23.25" customHeight="1">
      <c r="E5" s="329" t="s">
        <v>730</v>
      </c>
      <c r="F5" s="329"/>
      <c r="G5" s="329"/>
      <c r="H5" s="81"/>
      <c r="I5" s="327" t="s">
        <v>444</v>
      </c>
      <c r="J5" s="327"/>
      <c r="K5" s="327"/>
      <c r="M5" s="152"/>
    </row>
    <row r="6" spans="5:15" ht="23.25" customHeight="1">
      <c r="E6" s="234" t="s">
        <v>9</v>
      </c>
      <c r="G6" s="110" t="s">
        <v>32</v>
      </c>
      <c r="H6" s="81"/>
      <c r="I6" s="234" t="s">
        <v>9</v>
      </c>
      <c r="K6" s="154" t="s">
        <v>32</v>
      </c>
      <c r="M6" s="71"/>
      <c r="N6" s="96"/>
      <c r="O6" s="96"/>
    </row>
    <row r="7" spans="1:15" ht="23.25" customHeight="1">
      <c r="A7" s="153" t="s">
        <v>97</v>
      </c>
      <c r="D7" s="153" t="s">
        <v>704</v>
      </c>
      <c r="E7" s="100">
        <v>18386083.35</v>
      </c>
      <c r="F7" s="131"/>
      <c r="G7" s="250">
        <v>82.3</v>
      </c>
      <c r="H7" s="251"/>
      <c r="I7" s="100">
        <v>17914014.37</v>
      </c>
      <c r="J7" s="204"/>
      <c r="K7" s="250">
        <v>82.53</v>
      </c>
      <c r="L7" s="231">
        <f>(E7*$L$10)/$E$10</f>
        <v>82.29628157221477</v>
      </c>
      <c r="M7" s="71"/>
      <c r="N7" s="128">
        <f>SUM(E7:E8)</f>
        <v>22341329.400000002</v>
      </c>
      <c r="O7" s="96"/>
    </row>
    <row r="8" spans="1:15" ht="23.25" customHeight="1">
      <c r="A8" s="153" t="s">
        <v>80</v>
      </c>
      <c r="D8" s="153" t="s">
        <v>705</v>
      </c>
      <c r="E8" s="193">
        <v>3955246.05</v>
      </c>
      <c r="F8" s="131"/>
      <c r="G8" s="252">
        <v>17.7</v>
      </c>
      <c r="H8" s="251"/>
      <c r="I8" s="193">
        <v>3791753.08</v>
      </c>
      <c r="J8" s="204"/>
      <c r="K8" s="250">
        <v>17.47</v>
      </c>
      <c r="L8" s="231">
        <f>(E8*$L$10)/$E$10</f>
        <v>17.70371842778523</v>
      </c>
      <c r="M8" s="71"/>
      <c r="N8" s="236" t="e">
        <f>#REF!</f>
        <v>#REF!</v>
      </c>
      <c r="O8" s="236" t="e">
        <f>N7-N8</f>
        <v>#REF!</v>
      </c>
    </row>
    <row r="9" spans="4:15" ht="23.25" customHeight="1">
      <c r="D9" s="153" t="s">
        <v>706</v>
      </c>
      <c r="E9" s="253">
        <v>0</v>
      </c>
      <c r="F9" s="131"/>
      <c r="G9" s="252">
        <v>0</v>
      </c>
      <c r="H9" s="251"/>
      <c r="I9" s="253">
        <v>480.3</v>
      </c>
      <c r="J9" s="204"/>
      <c r="K9" s="250">
        <v>0</v>
      </c>
      <c r="M9" s="71"/>
      <c r="N9" s="236"/>
      <c r="O9" s="236"/>
    </row>
    <row r="10" spans="4:13" ht="23.25" customHeight="1">
      <c r="D10" s="153" t="s">
        <v>107</v>
      </c>
      <c r="E10" s="100">
        <f>SUM(E7:E9)</f>
        <v>22341329.400000002</v>
      </c>
      <c r="F10" s="131"/>
      <c r="G10" s="312">
        <f>SUM(G7:G8)</f>
        <v>100</v>
      </c>
      <c r="H10" s="251"/>
      <c r="I10" s="100">
        <f>SUM(I7:I9)</f>
        <v>21706247.750000004</v>
      </c>
      <c r="J10" s="204"/>
      <c r="K10" s="313">
        <v>100</v>
      </c>
      <c r="L10" s="231">
        <v>100</v>
      </c>
      <c r="M10" s="152"/>
    </row>
    <row r="11" spans="1:13" ht="23.25" customHeight="1">
      <c r="A11" s="158" t="s">
        <v>915</v>
      </c>
      <c r="E11" s="100">
        <f>'ต้นทุน 1'!F8</f>
        <v>5230325.62</v>
      </c>
      <c r="F11" s="131"/>
      <c r="G11" s="250" t="s">
        <v>824</v>
      </c>
      <c r="H11" s="251"/>
      <c r="I11" s="100">
        <v>5022207.49</v>
      </c>
      <c r="J11" s="204"/>
      <c r="K11" s="214">
        <v>23.14</v>
      </c>
      <c r="L11" s="231">
        <f aca="true" t="shared" si="0" ref="L11:L25">(E11*$L$10)/$E$10</f>
        <v>23.410986545858812</v>
      </c>
      <c r="M11" s="152"/>
    </row>
    <row r="12" spans="1:13" ht="23.25" customHeight="1">
      <c r="A12" s="153" t="s">
        <v>34</v>
      </c>
      <c r="E12" s="254">
        <f>E10-E11</f>
        <v>17111003.78</v>
      </c>
      <c r="F12" s="131"/>
      <c r="G12" s="255">
        <v>76.59</v>
      </c>
      <c r="H12" s="251"/>
      <c r="I12" s="254">
        <f>SUM(I10-I11)</f>
        <v>16684040.260000004</v>
      </c>
      <c r="J12" s="204"/>
      <c r="K12" s="256">
        <v>76.86</v>
      </c>
      <c r="L12" s="231">
        <f t="shared" si="0"/>
        <v>76.58901345414118</v>
      </c>
      <c r="M12" s="152"/>
    </row>
    <row r="13" spans="1:13" ht="23.25" customHeight="1">
      <c r="A13" s="158" t="s">
        <v>916</v>
      </c>
      <c r="B13" s="153" t="s">
        <v>85</v>
      </c>
      <c r="E13" s="99"/>
      <c r="F13" s="97"/>
      <c r="H13" s="98"/>
      <c r="I13" s="99"/>
      <c r="J13" s="230"/>
      <c r="L13" s="231">
        <f t="shared" si="0"/>
        <v>0</v>
      </c>
      <c r="M13" s="152"/>
    </row>
    <row r="14" spans="1:13" ht="23.25" customHeight="1">
      <c r="A14" s="165"/>
      <c r="B14" s="330" t="s">
        <v>184</v>
      </c>
      <c r="C14" s="330"/>
      <c r="D14" s="330"/>
      <c r="E14" s="100">
        <f>กระดาษทำการงบทดลองเครื่อง!R146</f>
        <v>560210.34</v>
      </c>
      <c r="F14" s="131"/>
      <c r="G14" s="250">
        <v>2.51</v>
      </c>
      <c r="H14" s="251"/>
      <c r="I14" s="100">
        <v>629733.82</v>
      </c>
      <c r="J14" s="204"/>
      <c r="K14" s="214">
        <v>2.9</v>
      </c>
      <c r="L14" s="231">
        <f t="shared" si="0"/>
        <v>2.5075067377145426</v>
      </c>
      <c r="M14" s="152"/>
    </row>
    <row r="15" spans="2:13" ht="23.25" customHeight="1">
      <c r="B15" s="330" t="s">
        <v>406</v>
      </c>
      <c r="C15" s="330"/>
      <c r="D15" s="330"/>
      <c r="E15" s="100">
        <f>กระดาษทำการงบทดลองเครื่อง!R149</f>
        <v>41982.26</v>
      </c>
      <c r="F15" s="131"/>
      <c r="G15" s="250">
        <v>0.19</v>
      </c>
      <c r="H15" s="251"/>
      <c r="I15" s="100">
        <v>4562.74</v>
      </c>
      <c r="J15" s="204"/>
      <c r="K15" s="214">
        <v>0.02</v>
      </c>
      <c r="L15" s="231">
        <f t="shared" si="0"/>
        <v>0.18791298963614939</v>
      </c>
      <c r="M15" s="152"/>
    </row>
    <row r="16" spans="2:13" ht="23.25" customHeight="1">
      <c r="B16" s="330" t="s">
        <v>667</v>
      </c>
      <c r="C16" s="330"/>
      <c r="D16" s="330"/>
      <c r="E16" s="100">
        <v>0</v>
      </c>
      <c r="F16" s="131"/>
      <c r="G16" s="250">
        <v>0</v>
      </c>
      <c r="H16" s="251"/>
      <c r="I16" s="100">
        <v>480.3</v>
      </c>
      <c r="J16" s="204"/>
      <c r="K16" s="214">
        <v>0</v>
      </c>
      <c r="L16" s="231">
        <f t="shared" si="0"/>
        <v>0</v>
      </c>
      <c r="M16" s="152"/>
    </row>
    <row r="17" spans="4:13" ht="23.25" customHeight="1">
      <c r="D17" s="242" t="s">
        <v>108</v>
      </c>
      <c r="E17" s="254">
        <f>SUM(E14:E16)</f>
        <v>602192.6</v>
      </c>
      <c r="F17" s="131"/>
      <c r="G17" s="255">
        <v>2.7</v>
      </c>
      <c r="H17" s="251"/>
      <c r="I17" s="254">
        <f>SUM(I14:I16)</f>
        <v>634776.86</v>
      </c>
      <c r="J17" s="204"/>
      <c r="K17" s="256">
        <v>2.92</v>
      </c>
      <c r="L17" s="231">
        <f t="shared" si="0"/>
        <v>2.695419727350692</v>
      </c>
      <c r="M17" s="152"/>
    </row>
    <row r="18" spans="1:13" ht="23.25" customHeight="1">
      <c r="A18" s="158" t="s">
        <v>77</v>
      </c>
      <c r="B18" s="153" t="s">
        <v>76</v>
      </c>
      <c r="E18" s="100"/>
      <c r="F18" s="131"/>
      <c r="G18" s="250"/>
      <c r="H18" s="251"/>
      <c r="I18" s="100"/>
      <c r="J18" s="204"/>
      <c r="K18" s="214"/>
      <c r="L18" s="231">
        <f t="shared" si="0"/>
        <v>0</v>
      </c>
      <c r="M18" s="152"/>
    </row>
    <row r="19" spans="2:13" ht="23.25" customHeight="1">
      <c r="B19" s="330" t="s">
        <v>186</v>
      </c>
      <c r="C19" s="330"/>
      <c r="D19" s="330"/>
      <c r="E19" s="100">
        <f>กระดาษทำการงบทดลองเครื่อง!Q183</f>
        <v>292440</v>
      </c>
      <c r="F19" s="131"/>
      <c r="G19" s="250">
        <v>1.31</v>
      </c>
      <c r="H19" s="251"/>
      <c r="I19" s="100">
        <v>281400</v>
      </c>
      <c r="J19" s="204"/>
      <c r="K19" s="257">
        <v>1.3</v>
      </c>
      <c r="L19" s="231">
        <f t="shared" si="0"/>
        <v>1.3089641836622308</v>
      </c>
      <c r="M19" s="152"/>
    </row>
    <row r="20" spans="2:13" ht="23.25" customHeight="1">
      <c r="B20" s="330" t="s">
        <v>185</v>
      </c>
      <c r="C20" s="330"/>
      <c r="D20" s="330"/>
      <c r="E20" s="100">
        <f>กระดาษทำการงบทดลองเครื่อง!Q180</f>
        <v>561711.84</v>
      </c>
      <c r="F20" s="131"/>
      <c r="G20" s="250">
        <v>2.51</v>
      </c>
      <c r="H20" s="251"/>
      <c r="I20" s="100">
        <v>168965.73</v>
      </c>
      <c r="J20" s="204"/>
      <c r="K20" s="257">
        <v>0.78</v>
      </c>
      <c r="L20" s="231">
        <f t="shared" si="0"/>
        <v>2.514227465801565</v>
      </c>
      <c r="M20" s="152"/>
    </row>
    <row r="21" spans="2:13" ht="23.25" customHeight="1">
      <c r="B21" s="330" t="s">
        <v>820</v>
      </c>
      <c r="C21" s="330"/>
      <c r="D21" s="330"/>
      <c r="E21" s="100">
        <f>กระดาษทำการงบทดลองเครื่อง!Q182</f>
        <v>251900</v>
      </c>
      <c r="F21" s="131"/>
      <c r="G21" s="250">
        <v>1.13</v>
      </c>
      <c r="H21" s="251"/>
      <c r="I21" s="100">
        <v>148362.58</v>
      </c>
      <c r="J21" s="204"/>
      <c r="K21" s="214">
        <v>0.68</v>
      </c>
      <c r="L21" s="231">
        <f t="shared" si="0"/>
        <v>1.1275067633173161</v>
      </c>
      <c r="M21" s="152"/>
    </row>
    <row r="22" spans="2:13" ht="23.25" customHeight="1">
      <c r="B22" s="330" t="s">
        <v>673</v>
      </c>
      <c r="C22" s="330"/>
      <c r="D22" s="330"/>
      <c r="E22" s="100">
        <v>1020170.35</v>
      </c>
      <c r="F22" s="131"/>
      <c r="G22" s="250">
        <v>4.57</v>
      </c>
      <c r="H22" s="251"/>
      <c r="I22" s="100">
        <v>1047407.8</v>
      </c>
      <c r="J22" s="204"/>
      <c r="K22" s="214">
        <v>4.82</v>
      </c>
      <c r="L22" s="231">
        <f t="shared" si="0"/>
        <v>4.5662920578038655</v>
      </c>
      <c r="M22" s="152"/>
    </row>
    <row r="23" spans="2:13" ht="23.25" customHeight="1">
      <c r="B23" s="330" t="s">
        <v>819</v>
      </c>
      <c r="C23" s="330"/>
      <c r="D23" s="330"/>
      <c r="E23" s="99">
        <v>-203841.09</v>
      </c>
      <c r="F23" s="314"/>
      <c r="G23" s="232">
        <v>-0.91</v>
      </c>
      <c r="H23" s="251"/>
      <c r="I23" s="100">
        <v>0</v>
      </c>
      <c r="J23" s="204"/>
      <c r="K23" s="214">
        <v>0</v>
      </c>
      <c r="L23" s="231">
        <f t="shared" si="0"/>
        <v>-0.9123946312702411</v>
      </c>
      <c r="M23" s="152"/>
    </row>
    <row r="24" spans="2:13" ht="23.25" customHeight="1">
      <c r="B24" s="242"/>
      <c r="C24" s="242"/>
      <c r="D24" s="242" t="s">
        <v>707</v>
      </c>
      <c r="E24" s="254">
        <v>1922381.1</v>
      </c>
      <c r="F24" s="131"/>
      <c r="G24" s="258">
        <v>8.61</v>
      </c>
      <c r="H24" s="251"/>
      <c r="I24" s="254">
        <f>SUM(I19:I23)</f>
        <v>1646136.1099999999</v>
      </c>
      <c r="J24" s="204"/>
      <c r="K24" s="258">
        <v>7.58</v>
      </c>
      <c r="L24" s="231">
        <f t="shared" si="0"/>
        <v>8.604595839314737</v>
      </c>
      <c r="M24" s="152"/>
    </row>
    <row r="25" spans="1:12" ht="23.25" customHeight="1" thickBot="1">
      <c r="A25" s="155" t="s">
        <v>37</v>
      </c>
      <c r="D25" s="242"/>
      <c r="E25" s="104">
        <f>E12+E17-E24</f>
        <v>15790815.280000003</v>
      </c>
      <c r="F25" s="135"/>
      <c r="G25" s="259">
        <v>70.68</v>
      </c>
      <c r="H25" s="260"/>
      <c r="I25" s="104">
        <f>I12+I17-I24</f>
        <v>15672681.010000005</v>
      </c>
      <c r="J25" s="261"/>
      <c r="K25" s="259">
        <v>72.2</v>
      </c>
      <c r="L25" s="231">
        <f t="shared" si="0"/>
        <v>70.67983734217714</v>
      </c>
    </row>
    <row r="26" spans="2:4" ht="23.25" customHeight="1" thickTop="1">
      <c r="B26" s="155"/>
      <c r="C26" s="155"/>
      <c r="D26" s="155"/>
    </row>
  </sheetData>
  <sheetProtection/>
  <mergeCells count="11">
    <mergeCell ref="B23:D23"/>
    <mergeCell ref="B20:D20"/>
    <mergeCell ref="B16:D16"/>
    <mergeCell ref="B22:D22"/>
    <mergeCell ref="A3:K3"/>
    <mergeCell ref="I5:K5"/>
    <mergeCell ref="E5:G5"/>
    <mergeCell ref="B14:D14"/>
    <mergeCell ref="B21:D21"/>
    <mergeCell ref="B15:D15"/>
    <mergeCell ref="B19:D19"/>
  </mergeCells>
  <printOptions/>
  <pageMargins left="0.7480314960629921" right="0.3937007874015748" top="0.7874015748031497" bottom="0.7874015748031497" header="0" footer="0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S50"/>
  <sheetViews>
    <sheetView zoomScaleSheetLayoutView="100" workbookViewId="0" topLeftCell="A34">
      <selection activeCell="I47" sqref="I47"/>
    </sheetView>
  </sheetViews>
  <sheetFormatPr defaultColWidth="9.140625" defaultRowHeight="21.75"/>
  <cols>
    <col min="1" max="1" width="7.28125" style="153" customWidth="1"/>
    <col min="2" max="3" width="5.7109375" style="153" customWidth="1"/>
    <col min="4" max="4" width="28.7109375" style="153" customWidth="1"/>
    <col min="5" max="5" width="16.57421875" style="156" customWidth="1"/>
    <col min="6" max="6" width="1.7109375" style="153" customWidth="1"/>
    <col min="7" max="7" width="9.7109375" style="233" bestFit="1" customWidth="1"/>
    <col min="8" max="8" width="3.00390625" style="153" customWidth="1"/>
    <col min="9" max="9" width="16.57421875" style="156" customWidth="1"/>
    <col min="10" max="10" width="1.7109375" style="153" customWidth="1"/>
    <col min="11" max="11" width="9.7109375" style="233" bestFit="1" customWidth="1"/>
    <col min="12" max="12" width="3.7109375" style="153" customWidth="1"/>
    <col min="13" max="13" width="10.28125" style="262" customWidth="1"/>
    <col min="14" max="16384" width="9.140625" style="153" customWidth="1"/>
  </cols>
  <sheetData>
    <row r="1" spans="5:14" ht="21">
      <c r="E1" s="157"/>
      <c r="H1" s="277"/>
      <c r="I1" s="153"/>
      <c r="J1" s="229"/>
      <c r="K1" s="278" t="s">
        <v>339</v>
      </c>
      <c r="L1" s="229"/>
      <c r="N1" s="152"/>
    </row>
    <row r="2" spans="5:14" ht="11.25" customHeight="1">
      <c r="E2" s="157"/>
      <c r="I2" s="157"/>
      <c r="N2" s="152"/>
    </row>
    <row r="3" spans="1:14" ht="23.25" customHeight="1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N3" s="152"/>
    </row>
    <row r="4" spans="1:14" ht="12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N4" s="152"/>
    </row>
    <row r="5" spans="5:14" ht="23.25" customHeight="1">
      <c r="E5" s="327" t="s">
        <v>730</v>
      </c>
      <c r="F5" s="327"/>
      <c r="G5" s="327"/>
      <c r="H5" s="200"/>
      <c r="I5" s="327" t="s">
        <v>444</v>
      </c>
      <c r="J5" s="327"/>
      <c r="K5" s="327"/>
      <c r="N5" s="152"/>
    </row>
    <row r="6" spans="5:14" ht="23.25" customHeight="1">
      <c r="E6" s="263" t="s">
        <v>9</v>
      </c>
      <c r="G6" s="154" t="s">
        <v>32</v>
      </c>
      <c r="H6" s="189"/>
      <c r="I6" s="263" t="s">
        <v>9</v>
      </c>
      <c r="K6" s="154" t="s">
        <v>32</v>
      </c>
      <c r="N6" s="152"/>
    </row>
    <row r="7" spans="1:14" ht="23.25" customHeight="1">
      <c r="A7" s="155" t="s">
        <v>69</v>
      </c>
      <c r="E7" s="157"/>
      <c r="H7" s="172"/>
      <c r="I7" s="157"/>
      <c r="N7" s="152"/>
    </row>
    <row r="8" spans="2:14" ht="23.25" customHeight="1">
      <c r="B8" s="153" t="s">
        <v>38</v>
      </c>
      <c r="E8" s="203">
        <f>3196175-17940</f>
        <v>3178235</v>
      </c>
      <c r="F8" s="230"/>
      <c r="G8" s="264" t="s">
        <v>825</v>
      </c>
      <c r="H8" s="265"/>
      <c r="I8" s="203">
        <v>2145425</v>
      </c>
      <c r="J8" s="230"/>
      <c r="K8" s="233">
        <v>1.67</v>
      </c>
      <c r="M8" s="262">
        <f aca="true" t="shared" si="0" ref="M8:M48">(E8*$G$24)/$E$24</f>
        <v>2.3783918064296716</v>
      </c>
      <c r="N8" s="152"/>
    </row>
    <row r="9" spans="2:14" ht="23.25" customHeight="1">
      <c r="B9" s="153" t="s">
        <v>160</v>
      </c>
      <c r="E9" s="210">
        <v>64540</v>
      </c>
      <c r="F9" s="230"/>
      <c r="G9" s="266" t="s">
        <v>826</v>
      </c>
      <c r="H9" s="265"/>
      <c r="I9" s="210">
        <v>81060</v>
      </c>
      <c r="J9" s="230"/>
      <c r="K9" s="267">
        <v>0.06</v>
      </c>
      <c r="M9" s="262">
        <f t="shared" si="0"/>
        <v>0.048297689499666015</v>
      </c>
      <c r="N9" s="152"/>
    </row>
    <row r="10" spans="4:14" ht="23.25" customHeight="1">
      <c r="D10" s="153" t="s">
        <v>1</v>
      </c>
      <c r="E10" s="207">
        <f>SUM(E8:E9)</f>
        <v>3242775</v>
      </c>
      <c r="F10" s="230"/>
      <c r="G10" s="264" t="s">
        <v>827</v>
      </c>
      <c r="H10" s="265"/>
      <c r="I10" s="207">
        <f>SUM(I8:I9)</f>
        <v>2226485</v>
      </c>
      <c r="J10" s="230"/>
      <c r="K10" s="233">
        <f>SUM(K8:K9)</f>
        <v>1.73</v>
      </c>
      <c r="M10" s="262">
        <f t="shared" si="0"/>
        <v>2.4266894959293377</v>
      </c>
      <c r="N10" s="152"/>
    </row>
    <row r="11" spans="1:14" ht="23.25" customHeight="1">
      <c r="A11" s="165" t="s">
        <v>77</v>
      </c>
      <c r="B11" s="153" t="s">
        <v>47</v>
      </c>
      <c r="E11" s="203">
        <f>'ต้นทุน 1'!F20</f>
        <v>3173170</v>
      </c>
      <c r="F11" s="230"/>
      <c r="G11" s="266" t="s">
        <v>849</v>
      </c>
      <c r="H11" s="230"/>
      <c r="I11" s="203">
        <v>2177055</v>
      </c>
      <c r="J11" s="230"/>
      <c r="K11" s="233">
        <f>I11*K24/I24</f>
        <v>1.6927582754246226</v>
      </c>
      <c r="M11" s="262">
        <f t="shared" si="0"/>
        <v>2.3746014779927984</v>
      </c>
      <c r="N11" s="152"/>
    </row>
    <row r="12" spans="1:14" ht="23.25" customHeight="1">
      <c r="A12" s="153" t="s">
        <v>34</v>
      </c>
      <c r="E12" s="279">
        <f>E10-E11</f>
        <v>69605</v>
      </c>
      <c r="F12" s="230"/>
      <c r="G12" s="268" t="s">
        <v>850</v>
      </c>
      <c r="H12" s="265"/>
      <c r="I12" s="279">
        <f>I10-I11</f>
        <v>49430</v>
      </c>
      <c r="J12" s="230"/>
      <c r="K12" s="241">
        <f>K10-K11</f>
        <v>0.03724172457537733</v>
      </c>
      <c r="M12" s="262">
        <f t="shared" si="0"/>
        <v>0.052088017936539395</v>
      </c>
      <c r="N12" s="152"/>
    </row>
    <row r="13" spans="1:14" ht="23.25" customHeight="1">
      <c r="A13" s="155" t="s">
        <v>161</v>
      </c>
      <c r="E13" s="203"/>
      <c r="F13" s="230"/>
      <c r="G13" s="264"/>
      <c r="H13" s="265"/>
      <c r="I13" s="203"/>
      <c r="J13" s="230"/>
      <c r="M13" s="262">
        <f t="shared" si="0"/>
        <v>0</v>
      </c>
      <c r="N13" s="152"/>
    </row>
    <row r="14" spans="2:14" ht="23.25" customHeight="1">
      <c r="B14" s="153" t="s">
        <v>162</v>
      </c>
      <c r="E14" s="203">
        <v>130107085.69</v>
      </c>
      <c r="F14" s="230"/>
      <c r="G14" s="264" t="s">
        <v>828</v>
      </c>
      <c r="H14" s="265"/>
      <c r="I14" s="203">
        <v>126113384.76</v>
      </c>
      <c r="J14" s="230"/>
      <c r="K14" s="233">
        <v>98.06</v>
      </c>
      <c r="M14" s="262">
        <f t="shared" si="0"/>
        <v>97.36398553396435</v>
      </c>
      <c r="N14" s="152"/>
    </row>
    <row r="15" spans="2:14" ht="23.25" customHeight="1">
      <c r="B15" s="153" t="s">
        <v>120</v>
      </c>
      <c r="E15" s="210">
        <v>269995.78</v>
      </c>
      <c r="F15" s="230"/>
      <c r="G15" s="266" t="s">
        <v>829</v>
      </c>
      <c r="H15" s="265"/>
      <c r="I15" s="210">
        <v>266326.96</v>
      </c>
      <c r="J15" s="230"/>
      <c r="K15" s="267">
        <f>I15*K24/I24</f>
        <v>0.20708120167321567</v>
      </c>
      <c r="M15" s="262">
        <f t="shared" si="0"/>
        <v>0.20204791367617192</v>
      </c>
      <c r="N15" s="152"/>
    </row>
    <row r="16" spans="4:14" ht="23.25" customHeight="1">
      <c r="D16" s="153" t="s">
        <v>1</v>
      </c>
      <c r="E16" s="203">
        <f>SUM(E14:E15)</f>
        <v>130377081.47</v>
      </c>
      <c r="F16" s="230"/>
      <c r="G16" s="264" t="s">
        <v>830</v>
      </c>
      <c r="H16" s="265"/>
      <c r="I16" s="203">
        <f>SUM(I14:I15)</f>
        <v>126379711.72</v>
      </c>
      <c r="J16" s="230"/>
      <c r="K16" s="269">
        <f>SUM(K14:K15)</f>
        <v>98.26708120167322</v>
      </c>
      <c r="M16" s="262">
        <f t="shared" si="0"/>
        <v>97.56603344764052</v>
      </c>
      <c r="N16" s="152"/>
    </row>
    <row r="17" spans="1:14" ht="23.25" customHeight="1">
      <c r="A17" s="165" t="s">
        <v>77</v>
      </c>
      <c r="B17" s="153" t="s">
        <v>47</v>
      </c>
      <c r="E17" s="203">
        <f>'ต้นทุน 1'!F29</f>
        <v>125655274.06</v>
      </c>
      <c r="F17" s="230"/>
      <c r="G17" s="266" t="s">
        <v>831</v>
      </c>
      <c r="H17" s="230"/>
      <c r="I17" s="203">
        <v>121656904.17</v>
      </c>
      <c r="J17" s="230"/>
      <c r="K17" s="233">
        <f>I17*K24/I24</f>
        <v>94.59372009265168</v>
      </c>
      <c r="M17" s="262">
        <f t="shared" si="0"/>
        <v>94.03252882778614</v>
      </c>
      <c r="N17" s="152"/>
    </row>
    <row r="18" spans="1:19" ht="23.25" customHeight="1">
      <c r="A18" s="153" t="s">
        <v>34</v>
      </c>
      <c r="E18" s="279">
        <f>E16-E17</f>
        <v>4721807.409999996</v>
      </c>
      <c r="F18" s="230"/>
      <c r="G18" s="268" t="s">
        <v>832</v>
      </c>
      <c r="H18" s="265"/>
      <c r="I18" s="279">
        <f>I16-I17</f>
        <v>4722807.549999997</v>
      </c>
      <c r="J18" s="230"/>
      <c r="K18" s="241">
        <v>3.68</v>
      </c>
      <c r="M18" s="262">
        <f t="shared" si="0"/>
        <v>3.533504619854385</v>
      </c>
      <c r="N18" s="262">
        <f aca="true" t="shared" si="1" ref="N18:S18">(F18*$G$24)/$E$24</f>
        <v>0</v>
      </c>
      <c r="O18" s="262">
        <f t="shared" si="1"/>
        <v>2.6416306776235052E-06</v>
      </c>
      <c r="P18" s="262">
        <f t="shared" si="1"/>
        <v>0</v>
      </c>
      <c r="Q18" s="262">
        <f t="shared" si="1"/>
        <v>3.5342530619240504</v>
      </c>
      <c r="R18" s="262">
        <f t="shared" si="1"/>
        <v>0</v>
      </c>
      <c r="S18" s="262">
        <f t="shared" si="1"/>
        <v>2.753881272989943E-06</v>
      </c>
    </row>
    <row r="19" spans="1:14" ht="23.25" customHeight="1">
      <c r="A19" s="155" t="s">
        <v>70</v>
      </c>
      <c r="E19" s="203"/>
      <c r="F19" s="230"/>
      <c r="G19" s="264"/>
      <c r="H19" s="265"/>
      <c r="I19" s="203"/>
      <c r="J19" s="230"/>
      <c r="M19" s="262">
        <f t="shared" si="0"/>
        <v>0</v>
      </c>
      <c r="N19" s="152"/>
    </row>
    <row r="20" spans="2:14" ht="23.25" customHeight="1">
      <c r="B20" s="153" t="s">
        <v>163</v>
      </c>
      <c r="E20" s="210">
        <v>9724.3</v>
      </c>
      <c r="F20" s="230"/>
      <c r="G20" s="266" t="s">
        <v>833</v>
      </c>
      <c r="H20" s="265"/>
      <c r="I20" s="210">
        <v>3719.51</v>
      </c>
      <c r="J20" s="230"/>
      <c r="K20" s="267">
        <v>0</v>
      </c>
      <c r="M20" s="262">
        <f t="shared" si="0"/>
        <v>0.007277056430145679</v>
      </c>
      <c r="N20" s="152"/>
    </row>
    <row r="21" spans="4:14" ht="23.25" customHeight="1">
      <c r="D21" s="153" t="s">
        <v>1</v>
      </c>
      <c r="E21" s="217">
        <f>SUM(E20)</f>
        <v>9724.3</v>
      </c>
      <c r="F21" s="230"/>
      <c r="G21" s="264" t="s">
        <v>833</v>
      </c>
      <c r="H21" s="265"/>
      <c r="I21" s="203">
        <v>3719.51</v>
      </c>
      <c r="J21" s="230"/>
      <c r="K21" s="270">
        <v>0</v>
      </c>
      <c r="M21" s="262">
        <f t="shared" si="0"/>
        <v>0.007277056430145679</v>
      </c>
      <c r="N21" s="152"/>
    </row>
    <row r="22" spans="1:14" ht="23.25" customHeight="1">
      <c r="A22" s="165" t="s">
        <v>77</v>
      </c>
      <c r="B22" s="153" t="s">
        <v>47</v>
      </c>
      <c r="E22" s="203">
        <f>'ต้นทุน 1'!F45</f>
        <v>7873.759999999998</v>
      </c>
      <c r="F22" s="230"/>
      <c r="G22" s="266" t="s">
        <v>833</v>
      </c>
      <c r="H22" s="230"/>
      <c r="I22" s="203">
        <v>2834.62</v>
      </c>
      <c r="J22" s="230"/>
      <c r="K22" s="267">
        <f>I22*K24/I24</f>
        <v>0.0022040446670773795</v>
      </c>
      <c r="M22" s="262">
        <f t="shared" si="0"/>
        <v>0.005892228318482959</v>
      </c>
      <c r="N22" s="152"/>
    </row>
    <row r="23" spans="1:14" ht="23.25" customHeight="1">
      <c r="A23" s="153" t="s">
        <v>34</v>
      </c>
      <c r="E23" s="279">
        <f>E21-E22</f>
        <v>1850.5400000000009</v>
      </c>
      <c r="F23" s="230"/>
      <c r="G23" s="268" t="s">
        <v>442</v>
      </c>
      <c r="H23" s="265"/>
      <c r="I23" s="279">
        <f>I21-I22</f>
        <v>884.8900000000003</v>
      </c>
      <c r="J23" s="230"/>
      <c r="K23" s="271">
        <v>0</v>
      </c>
      <c r="M23" s="262">
        <f t="shared" si="0"/>
        <v>0.0013848281116627206</v>
      </c>
      <c r="N23" s="152"/>
    </row>
    <row r="24" spans="1:14" ht="23.25" customHeight="1">
      <c r="A24" s="153" t="s">
        <v>364</v>
      </c>
      <c r="E24" s="207">
        <f>E10+E16+E21</f>
        <v>133629580.77</v>
      </c>
      <c r="F24" s="230"/>
      <c r="G24" s="264" t="s">
        <v>366</v>
      </c>
      <c r="H24" s="265"/>
      <c r="I24" s="207">
        <f>I10+I16+I21</f>
        <v>128609916.23</v>
      </c>
      <c r="J24" s="230"/>
      <c r="K24" s="272">
        <v>100</v>
      </c>
      <c r="M24" s="262">
        <f t="shared" si="0"/>
        <v>100</v>
      </c>
      <c r="N24" s="152"/>
    </row>
    <row r="25" spans="1:14" ht="23.25" customHeight="1">
      <c r="A25" s="165" t="s">
        <v>77</v>
      </c>
      <c r="B25" s="153" t="s">
        <v>365</v>
      </c>
      <c r="E25" s="203">
        <f>E11+E17+E22</f>
        <v>128836317.82000001</v>
      </c>
      <c r="F25" s="230"/>
      <c r="G25" s="266" t="s">
        <v>851</v>
      </c>
      <c r="H25" s="230"/>
      <c r="I25" s="207">
        <f>I11+I17+I22</f>
        <v>123836793.79</v>
      </c>
      <c r="J25" s="230"/>
      <c r="K25" s="266" t="s">
        <v>708</v>
      </c>
      <c r="M25" s="262">
        <f t="shared" si="0"/>
        <v>96.41302253409741</v>
      </c>
      <c r="N25" s="152"/>
    </row>
    <row r="26" spans="1:14" ht="23.25" customHeight="1">
      <c r="A26" s="153" t="s">
        <v>34</v>
      </c>
      <c r="E26" s="279">
        <f>E24-E25</f>
        <v>4793262.949999988</v>
      </c>
      <c r="F26" s="230"/>
      <c r="G26" s="268" t="s">
        <v>852</v>
      </c>
      <c r="H26" s="265"/>
      <c r="I26" s="279">
        <f>I12+I18+I23</f>
        <v>4773122.439999997</v>
      </c>
      <c r="J26" s="230"/>
      <c r="K26" s="241">
        <v>3.72</v>
      </c>
      <c r="M26" s="262">
        <f t="shared" si="0"/>
        <v>3.5869774659025806</v>
      </c>
      <c r="N26" s="152"/>
    </row>
    <row r="27" spans="1:14" ht="23.25" customHeight="1">
      <c r="A27" s="165" t="s">
        <v>75</v>
      </c>
      <c r="B27" s="153" t="s">
        <v>85</v>
      </c>
      <c r="E27" s="203"/>
      <c r="F27" s="230"/>
      <c r="H27" s="265"/>
      <c r="I27" s="203"/>
      <c r="J27" s="230"/>
      <c r="M27" s="262">
        <f t="shared" si="0"/>
        <v>0</v>
      </c>
      <c r="N27" s="152"/>
    </row>
    <row r="28" spans="2:14" ht="23.25" customHeight="1">
      <c r="B28" s="330" t="s">
        <v>164</v>
      </c>
      <c r="C28" s="330"/>
      <c r="D28" s="330"/>
      <c r="E28" s="203">
        <f>กระดาษทำการงบทดลองเครื่อง!R154</f>
        <v>87030</v>
      </c>
      <c r="F28" s="230"/>
      <c r="G28" s="233">
        <v>0.06</v>
      </c>
      <c r="H28" s="230"/>
      <c r="I28" s="203">
        <v>149400</v>
      </c>
      <c r="J28" s="230"/>
      <c r="K28" s="233">
        <v>0.12</v>
      </c>
      <c r="M28" s="262">
        <f t="shared" si="0"/>
        <v>0.06512779543160727</v>
      </c>
      <c r="N28" s="152"/>
    </row>
    <row r="29" spans="2:14" ht="23.25" customHeight="1">
      <c r="B29" s="330" t="s">
        <v>404</v>
      </c>
      <c r="C29" s="330"/>
      <c r="D29" s="330"/>
      <c r="E29" s="203">
        <f>กระดาษทำการงบทดลองเครื่อง!R155</f>
        <v>25000</v>
      </c>
      <c r="F29" s="230"/>
      <c r="G29" s="233">
        <v>0.02</v>
      </c>
      <c r="H29" s="230"/>
      <c r="I29" s="203">
        <v>25000</v>
      </c>
      <c r="J29" s="230"/>
      <c r="K29" s="233">
        <v>0.02</v>
      </c>
      <c r="M29" s="262">
        <f t="shared" si="0"/>
        <v>0.018708432561072984</v>
      </c>
      <c r="N29" s="152"/>
    </row>
    <row r="30" spans="2:14" ht="23.25" customHeight="1">
      <c r="B30" s="330" t="s">
        <v>416</v>
      </c>
      <c r="C30" s="330"/>
      <c r="D30" s="330"/>
      <c r="E30" s="203">
        <f>กระดาษทำการงบทดลองเครื่อง!R153</f>
        <v>173266.04</v>
      </c>
      <c r="F30" s="230"/>
      <c r="G30" s="233">
        <v>0.13</v>
      </c>
      <c r="H30" s="230"/>
      <c r="I30" s="203">
        <v>132541.22</v>
      </c>
      <c r="J30" s="230"/>
      <c r="K30" s="233">
        <v>0.1</v>
      </c>
      <c r="M30" s="262">
        <f t="shared" si="0"/>
        <v>0.12966144097856697</v>
      </c>
      <c r="N30" s="152"/>
    </row>
    <row r="31" spans="2:14" ht="23.25" customHeight="1">
      <c r="B31" s="242"/>
      <c r="C31" s="242"/>
      <c r="D31" s="242" t="s">
        <v>35</v>
      </c>
      <c r="E31" s="279">
        <f>SUM(E28:E30)</f>
        <v>285296.04000000004</v>
      </c>
      <c r="F31" s="230"/>
      <c r="G31" s="241">
        <v>0.21</v>
      </c>
      <c r="H31" s="265"/>
      <c r="I31" s="279">
        <f>SUM(I28:I30)</f>
        <v>306941.22</v>
      </c>
      <c r="J31" s="230"/>
      <c r="K31" s="271">
        <f>SUM(K28:K30)</f>
        <v>0.24</v>
      </c>
      <c r="M31" s="262">
        <f t="shared" si="0"/>
        <v>0.21349766897124722</v>
      </c>
      <c r="N31" s="152"/>
    </row>
    <row r="32" spans="1:14" ht="23.25" customHeight="1">
      <c r="A32" s="165" t="s">
        <v>77</v>
      </c>
      <c r="B32" s="153" t="s">
        <v>76</v>
      </c>
      <c r="E32" s="203"/>
      <c r="F32" s="230"/>
      <c r="H32" s="265"/>
      <c r="I32" s="203"/>
      <c r="J32" s="230"/>
      <c r="M32" s="262">
        <f t="shared" si="0"/>
        <v>0</v>
      </c>
      <c r="N32" s="152"/>
    </row>
    <row r="33" spans="2:14" ht="23.25" customHeight="1">
      <c r="B33" s="330" t="s">
        <v>389</v>
      </c>
      <c r="C33" s="330"/>
      <c r="D33" s="330"/>
      <c r="E33" s="203">
        <f>กระดาษทำการงบทดลองเครื่อง!Q193+กระดาษทำการงบทดลองเครื่อง!Q194</f>
        <v>894120</v>
      </c>
      <c r="F33" s="230"/>
      <c r="G33" s="233">
        <v>0.67</v>
      </c>
      <c r="H33" s="265"/>
      <c r="I33" s="203">
        <v>771180</v>
      </c>
      <c r="J33" s="230"/>
      <c r="K33" s="233">
        <v>0.6</v>
      </c>
      <c r="M33" s="262">
        <f t="shared" si="0"/>
        <v>0.669103348860263</v>
      </c>
      <c r="N33" s="152"/>
    </row>
    <row r="34" spans="2:14" ht="23.25" customHeight="1">
      <c r="B34" s="330" t="s">
        <v>390</v>
      </c>
      <c r="C34" s="330"/>
      <c r="D34" s="330"/>
      <c r="E34" s="100">
        <f>กระดาษทำการงบทดลองเครื่อง!Q202</f>
        <v>727900.39</v>
      </c>
      <c r="F34" s="230"/>
      <c r="G34" s="233">
        <v>0.54</v>
      </c>
      <c r="H34" s="265"/>
      <c r="I34" s="203">
        <v>676007.31</v>
      </c>
      <c r="J34" s="230"/>
      <c r="K34" s="233">
        <v>0.53</v>
      </c>
      <c r="M34" s="262">
        <f t="shared" si="0"/>
        <v>0.5447150142997489</v>
      </c>
      <c r="N34" s="152"/>
    </row>
    <row r="35" spans="2:14" ht="23.25" customHeight="1">
      <c r="B35" s="330" t="s">
        <v>391</v>
      </c>
      <c r="C35" s="330"/>
      <c r="D35" s="330"/>
      <c r="E35" s="203">
        <f>กระดาษทำการงบทดลองเครื่อง!Q189</f>
        <v>628966.2</v>
      </c>
      <c r="F35" s="230"/>
      <c r="G35" s="233">
        <v>0.47</v>
      </c>
      <c r="H35" s="265"/>
      <c r="I35" s="203">
        <v>496419.7</v>
      </c>
      <c r="J35" s="230"/>
      <c r="K35" s="233">
        <v>0.39</v>
      </c>
      <c r="M35" s="262">
        <f t="shared" si="0"/>
        <v>0.47067886943577364</v>
      </c>
      <c r="N35" s="152"/>
    </row>
    <row r="36" spans="2:14" ht="23.25" customHeight="1">
      <c r="B36" s="330" t="s">
        <v>361</v>
      </c>
      <c r="C36" s="330"/>
      <c r="D36" s="330"/>
      <c r="E36" s="203">
        <f>กระดาษทำการงบทดลองเครื่อง!Q199</f>
        <v>35819.31</v>
      </c>
      <c r="F36" s="230"/>
      <c r="G36" s="233">
        <v>0.03</v>
      </c>
      <c r="H36" s="265"/>
      <c r="I36" s="203">
        <v>46907.13</v>
      </c>
      <c r="J36" s="230"/>
      <c r="K36" s="233">
        <v>0.04</v>
      </c>
      <c r="M36" s="262">
        <f t="shared" si="0"/>
        <v>0.026804925820766684</v>
      </c>
      <c r="N36" s="152"/>
    </row>
    <row r="37" spans="2:14" ht="23.25" customHeight="1">
      <c r="B37" s="330" t="s">
        <v>167</v>
      </c>
      <c r="C37" s="330"/>
      <c r="D37" s="330"/>
      <c r="E37" s="100">
        <f>กระดาษทำการงบทดลองเครื่อง!Q196+กระดาษทำการงบทดลองเครื่อง!Q198</f>
        <v>65739.79000000001</v>
      </c>
      <c r="F37" s="230"/>
      <c r="G37" s="233">
        <v>0.05</v>
      </c>
      <c r="H37" s="265"/>
      <c r="I37" s="203">
        <v>43512.67</v>
      </c>
      <c r="J37" s="230"/>
      <c r="K37" s="233">
        <v>0.03</v>
      </c>
      <c r="M37" s="262">
        <f t="shared" si="0"/>
        <v>0.04919553711176401</v>
      </c>
      <c r="N37" s="152"/>
    </row>
    <row r="38" spans="2:14" ht="23.25" customHeight="1">
      <c r="B38" s="330" t="s">
        <v>165</v>
      </c>
      <c r="C38" s="330"/>
      <c r="D38" s="330"/>
      <c r="E38" s="203">
        <f>กระดาษทำการงบทดลองเครื่อง!Q192</f>
        <v>534292.7</v>
      </c>
      <c r="F38" s="230"/>
      <c r="G38" s="233">
        <v>0.4</v>
      </c>
      <c r="H38" s="265"/>
      <c r="I38" s="203">
        <v>516750.14</v>
      </c>
      <c r="J38" s="230"/>
      <c r="K38" s="233">
        <v>0.4</v>
      </c>
      <c r="M38" s="262">
        <f t="shared" si="0"/>
        <v>0.3998311578329439</v>
      </c>
      <c r="N38" s="152"/>
    </row>
    <row r="39" spans="2:14" ht="23.25" customHeight="1">
      <c r="B39" s="330" t="s">
        <v>166</v>
      </c>
      <c r="C39" s="330"/>
      <c r="D39" s="330"/>
      <c r="E39" s="203">
        <f>กระดาษทำการงบทดลองเครื่อง!Q191</f>
        <v>67726.03</v>
      </c>
      <c r="F39" s="230"/>
      <c r="G39" s="233">
        <v>0.05</v>
      </c>
      <c r="H39" s="265"/>
      <c r="I39" s="203">
        <v>72246.56</v>
      </c>
      <c r="J39" s="230"/>
      <c r="K39" s="233">
        <v>0.06</v>
      </c>
      <c r="M39" s="262">
        <f t="shared" si="0"/>
        <v>0.05068191459536823</v>
      </c>
      <c r="N39" s="152"/>
    </row>
    <row r="40" spans="2:14" ht="23.25" customHeight="1">
      <c r="B40" s="330" t="s">
        <v>715</v>
      </c>
      <c r="C40" s="330"/>
      <c r="D40" s="330"/>
      <c r="E40" s="203">
        <f>กระดาษทำการงบทดลองเครื่อง!Q195+กระดาษทำการงบทดลองเครื่อง!Q197</f>
        <v>357552.89</v>
      </c>
      <c r="F40" s="230"/>
      <c r="G40" s="233">
        <v>0.27</v>
      </c>
      <c r="H40" s="265"/>
      <c r="I40" s="203">
        <v>111108.01</v>
      </c>
      <c r="J40" s="230"/>
      <c r="K40" s="233">
        <v>0.09</v>
      </c>
      <c r="M40" s="262">
        <f t="shared" si="0"/>
        <v>0.26757016518326987</v>
      </c>
      <c r="N40" s="152"/>
    </row>
    <row r="41" spans="2:14" ht="23.25" customHeight="1">
      <c r="B41" s="330" t="s">
        <v>716</v>
      </c>
      <c r="C41" s="330"/>
      <c r="D41" s="330"/>
      <c r="E41" s="203">
        <f>กระดาษทำการงบทดลองเครื่อง!Q205</f>
        <v>21536.76</v>
      </c>
      <c r="F41" s="230"/>
      <c r="G41" s="233">
        <v>0.02</v>
      </c>
      <c r="H41" s="265"/>
      <c r="I41" s="203">
        <v>14539.99</v>
      </c>
      <c r="J41" s="230"/>
      <c r="K41" s="233">
        <v>0.01</v>
      </c>
      <c r="M41" s="262">
        <f t="shared" si="0"/>
        <v>0.016116760881760568</v>
      </c>
      <c r="N41" s="152"/>
    </row>
    <row r="42" spans="2:14" ht="23.25" customHeight="1">
      <c r="B42" s="330" t="s">
        <v>438</v>
      </c>
      <c r="C42" s="330"/>
      <c r="D42" s="330"/>
      <c r="E42" s="203">
        <f>กระดาษทำการงบทดลองเครื่อง!Q203</f>
        <v>52000</v>
      </c>
      <c r="F42" s="230"/>
      <c r="G42" s="233">
        <v>0.04</v>
      </c>
      <c r="H42" s="265"/>
      <c r="I42" s="203">
        <v>52000</v>
      </c>
      <c r="J42" s="230"/>
      <c r="K42" s="233">
        <v>0.04</v>
      </c>
      <c r="M42" s="262">
        <f t="shared" si="0"/>
        <v>0.03891353972703181</v>
      </c>
      <c r="N42" s="152"/>
    </row>
    <row r="43" spans="2:14" ht="23.25" customHeight="1">
      <c r="B43" s="330" t="s">
        <v>439</v>
      </c>
      <c r="C43" s="330"/>
      <c r="D43" s="330"/>
      <c r="E43" s="203">
        <f>กระดาษทำการงบทดลองเครื่อง!Q204</f>
        <v>18064.44</v>
      </c>
      <c r="F43" s="230"/>
      <c r="G43" s="233">
        <v>0.01</v>
      </c>
      <c r="H43" s="265"/>
      <c r="I43" s="203">
        <v>18064.44</v>
      </c>
      <c r="J43" s="230"/>
      <c r="K43" s="233">
        <v>0.01</v>
      </c>
      <c r="M43" s="262">
        <f t="shared" si="0"/>
        <v>0.013518294299741968</v>
      </c>
      <c r="N43" s="152"/>
    </row>
    <row r="44" spans="2:14" ht="23.25" customHeight="1">
      <c r="B44" s="330" t="s">
        <v>443</v>
      </c>
      <c r="C44" s="330"/>
      <c r="D44" s="330"/>
      <c r="E44" s="203">
        <f>กระดาษทำการงบทดลองเครื่อง!Q200+กระดาษทำการงบทดลองเครื่อง!Q201</f>
        <v>118317</v>
      </c>
      <c r="F44" s="230"/>
      <c r="G44" s="233">
        <v>0.09</v>
      </c>
      <c r="H44" s="265"/>
      <c r="I44" s="203">
        <v>127029</v>
      </c>
      <c r="J44" s="230"/>
      <c r="K44" s="233">
        <v>0.09</v>
      </c>
      <c r="M44" s="262">
        <f t="shared" si="0"/>
        <v>0.08854102461313888</v>
      </c>
      <c r="N44" s="152"/>
    </row>
    <row r="45" spans="2:14" ht="23.25" customHeight="1">
      <c r="B45" s="330" t="s">
        <v>821</v>
      </c>
      <c r="C45" s="330"/>
      <c r="D45" s="330"/>
      <c r="E45" s="203">
        <f>กระดาษทำการงบทดลองเครื่อง!Q206</f>
        <v>16000</v>
      </c>
      <c r="F45" s="230"/>
      <c r="G45" s="233">
        <v>0.01</v>
      </c>
      <c r="H45" s="265"/>
      <c r="I45" s="203">
        <v>0</v>
      </c>
      <c r="J45" s="230"/>
      <c r="K45" s="233">
        <v>0</v>
      </c>
      <c r="M45" s="262">
        <f t="shared" si="0"/>
        <v>0.011973396839086709</v>
      </c>
      <c r="N45" s="152"/>
    </row>
    <row r="46" spans="2:14" ht="23.25" customHeight="1" hidden="1">
      <c r="B46" s="330" t="s">
        <v>822</v>
      </c>
      <c r="C46" s="330"/>
      <c r="D46" s="330"/>
      <c r="E46" s="203">
        <v>0</v>
      </c>
      <c r="F46" s="230"/>
      <c r="G46" s="233">
        <v>0</v>
      </c>
      <c r="H46" s="265"/>
      <c r="I46" s="203">
        <v>0</v>
      </c>
      <c r="J46" s="230"/>
      <c r="K46" s="233">
        <v>0</v>
      </c>
      <c r="M46" s="262">
        <f t="shared" si="0"/>
        <v>0</v>
      </c>
      <c r="N46" s="152"/>
    </row>
    <row r="47" spans="4:14" ht="23.25" customHeight="1">
      <c r="D47" s="153" t="s">
        <v>36</v>
      </c>
      <c r="E47" s="279">
        <f>SUM(E33:E46)</f>
        <v>3538035.5099999993</v>
      </c>
      <c r="F47" s="230"/>
      <c r="G47" s="241">
        <v>2.65</v>
      </c>
      <c r="H47" s="265"/>
      <c r="I47" s="279">
        <f>SUM(I33:I46)</f>
        <v>2945764.9499999997</v>
      </c>
      <c r="J47" s="230"/>
      <c r="K47" s="271">
        <v>2.29</v>
      </c>
      <c r="M47" s="262">
        <f t="shared" si="0"/>
        <v>2.6476439495006576</v>
      </c>
      <c r="N47" s="152"/>
    </row>
    <row r="48" spans="1:14" ht="23.25" customHeight="1" thickBot="1">
      <c r="A48" s="155" t="s">
        <v>37</v>
      </c>
      <c r="E48" s="218">
        <f>E26+E31-E47</f>
        <v>1540523.4799999888</v>
      </c>
      <c r="F48" s="248"/>
      <c r="G48" s="273">
        <v>1.16</v>
      </c>
      <c r="H48" s="274"/>
      <c r="I48" s="218">
        <f>I12+I18+I23+I31-I47</f>
        <v>2134298.7099999967</v>
      </c>
      <c r="J48" s="248"/>
      <c r="K48" s="273">
        <v>1.67</v>
      </c>
      <c r="M48" s="262">
        <f t="shared" si="0"/>
        <v>1.15283118537317</v>
      </c>
      <c r="N48" s="152"/>
    </row>
    <row r="49" spans="1:14" ht="21.75" thickTop="1">
      <c r="A49" s="155"/>
      <c r="E49" s="275"/>
      <c r="F49" s="248"/>
      <c r="G49" s="276"/>
      <c r="H49" s="274"/>
      <c r="I49" s="275"/>
      <c r="J49" s="248"/>
      <c r="K49" s="276"/>
      <c r="N49" s="152"/>
    </row>
    <row r="50" spans="1:14" ht="21">
      <c r="A50" s="155"/>
      <c r="E50" s="157"/>
      <c r="I50" s="157"/>
      <c r="N50" s="152"/>
    </row>
  </sheetData>
  <sheetProtection/>
  <mergeCells count="20">
    <mergeCell ref="B45:D45"/>
    <mergeCell ref="B46:D46"/>
    <mergeCell ref="B44:D44"/>
    <mergeCell ref="A3:K3"/>
    <mergeCell ref="E5:G5"/>
    <mergeCell ref="I5:K5"/>
    <mergeCell ref="B34:D34"/>
    <mergeCell ref="B28:D28"/>
    <mergeCell ref="B42:D42"/>
    <mergeCell ref="B41:D41"/>
    <mergeCell ref="B39:D39"/>
    <mergeCell ref="B43:D43"/>
    <mergeCell ref="B40:D40"/>
    <mergeCell ref="B36:D36"/>
    <mergeCell ref="B29:D29"/>
    <mergeCell ref="B37:D37"/>
    <mergeCell ref="B38:D38"/>
    <mergeCell ref="B30:D30"/>
    <mergeCell ref="B33:D33"/>
    <mergeCell ref="B35:D35"/>
  </mergeCells>
  <printOptions/>
  <pageMargins left="0.7480314960629921" right="0.35433070866141736" top="0.7874015748031497" bottom="0.5905511811023623" header="0" footer="0"/>
  <pageSetup blackAndWhite="1" horizontalDpi="600" verticalDpi="600" orientation="portrait" paperSize="9" scale="90" r:id="rId1"/>
  <rowBreaks count="1" manualBreakCount="1">
    <brk id="3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P25"/>
  <sheetViews>
    <sheetView zoomScaleSheetLayoutView="100" zoomScalePageLayoutView="0" workbookViewId="0" topLeftCell="A11">
      <selection activeCell="E25" sqref="E25"/>
    </sheetView>
  </sheetViews>
  <sheetFormatPr defaultColWidth="9.140625" defaultRowHeight="21.75"/>
  <cols>
    <col min="1" max="1" width="5.140625" style="153" customWidth="1"/>
    <col min="2" max="2" width="3.7109375" style="153" customWidth="1"/>
    <col min="3" max="3" width="8.8515625" style="153" customWidth="1"/>
    <col min="4" max="4" width="28.7109375" style="153" customWidth="1"/>
    <col min="5" max="5" width="15.7109375" style="109" customWidth="1"/>
    <col min="6" max="6" width="1.7109375" style="70" customWidth="1"/>
    <col min="7" max="7" width="7.57421875" style="109" customWidth="1"/>
    <col min="8" max="8" width="1.7109375" style="70" customWidth="1"/>
    <col min="9" max="9" width="14.57421875" style="109" customWidth="1"/>
    <col min="10" max="10" width="1.7109375" style="153" customWidth="1"/>
    <col min="11" max="11" width="8.00390625" style="233" customWidth="1"/>
    <col min="12" max="12" width="12.7109375" style="262" customWidth="1"/>
    <col min="13" max="15" width="16.57421875" style="153" customWidth="1"/>
    <col min="16" max="16384" width="9.140625" style="153" customWidth="1"/>
  </cols>
  <sheetData>
    <row r="1" spans="5:13" ht="21">
      <c r="E1" s="119"/>
      <c r="G1" s="153"/>
      <c r="H1" s="229"/>
      <c r="I1" s="229"/>
      <c r="J1" s="229"/>
      <c r="K1" s="278" t="s">
        <v>425</v>
      </c>
      <c r="M1" s="152"/>
    </row>
    <row r="2" spans="5:13" ht="13.5" customHeight="1">
      <c r="E2" s="119"/>
      <c r="M2" s="152"/>
    </row>
    <row r="3" spans="1:13" ht="23.25" customHeight="1">
      <c r="A3" s="328" t="s">
        <v>670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M3" s="152"/>
    </row>
    <row r="4" spans="1:13" ht="12.75" customHeight="1">
      <c r="A4" s="200"/>
      <c r="B4" s="200"/>
      <c r="C4" s="200"/>
      <c r="D4" s="200"/>
      <c r="E4" s="110"/>
      <c r="F4" s="80"/>
      <c r="G4" s="110"/>
      <c r="H4" s="80"/>
      <c r="I4" s="110"/>
      <c r="J4" s="200"/>
      <c r="K4" s="154"/>
      <c r="M4" s="152"/>
    </row>
    <row r="5" spans="5:13" ht="23.25" customHeight="1">
      <c r="E5" s="329" t="s">
        <v>730</v>
      </c>
      <c r="F5" s="329"/>
      <c r="G5" s="329"/>
      <c r="H5" s="81"/>
      <c r="I5" s="327" t="s">
        <v>444</v>
      </c>
      <c r="J5" s="327"/>
      <c r="K5" s="327"/>
      <c r="M5" s="152"/>
    </row>
    <row r="6" spans="5:15" ht="23.25" customHeight="1">
      <c r="E6" s="234" t="s">
        <v>9</v>
      </c>
      <c r="G6" s="110" t="s">
        <v>32</v>
      </c>
      <c r="H6" s="81"/>
      <c r="I6" s="234" t="s">
        <v>9</v>
      </c>
      <c r="K6" s="154" t="s">
        <v>32</v>
      </c>
      <c r="M6" s="71"/>
      <c r="N6" s="96"/>
      <c r="O6" s="96"/>
    </row>
    <row r="7" spans="1:15" ht="23.25" customHeight="1">
      <c r="A7" s="153" t="s">
        <v>573</v>
      </c>
      <c r="E7" s="253">
        <f>กระดาษทำการงบทดลองเครื่อง!R161</f>
        <v>77390221</v>
      </c>
      <c r="F7" s="97"/>
      <c r="G7" s="280">
        <v>100</v>
      </c>
      <c r="H7" s="98"/>
      <c r="I7" s="253">
        <v>47510159</v>
      </c>
      <c r="J7" s="230"/>
      <c r="K7" s="281">
        <v>100</v>
      </c>
      <c r="L7" s="262">
        <f>(E7*$L$8)/$E$8</f>
        <v>100</v>
      </c>
      <c r="M7" s="71"/>
      <c r="N7" s="128">
        <f>SUM(E7:E7)</f>
        <v>77390221</v>
      </c>
      <c r="O7" s="96"/>
    </row>
    <row r="8" spans="4:13" ht="23.25" customHeight="1">
      <c r="D8" s="153" t="s">
        <v>107</v>
      </c>
      <c r="E8" s="100">
        <f>SUM(E7:E7)</f>
        <v>77390221</v>
      </c>
      <c r="F8" s="97"/>
      <c r="G8" s="282">
        <v>100</v>
      </c>
      <c r="H8" s="98"/>
      <c r="I8" s="100">
        <f>SUM(I7:I7)</f>
        <v>47510159</v>
      </c>
      <c r="J8" s="230"/>
      <c r="K8" s="283">
        <v>100</v>
      </c>
      <c r="L8" s="262">
        <v>100</v>
      </c>
      <c r="M8" s="152"/>
    </row>
    <row r="9" spans="1:13" ht="23.25" customHeight="1">
      <c r="A9" s="158" t="s">
        <v>917</v>
      </c>
      <c r="E9" s="100">
        <f>'ต้นทุน 2'!F12</f>
        <v>77023953</v>
      </c>
      <c r="F9" s="97"/>
      <c r="G9" s="284">
        <v>99.53</v>
      </c>
      <c r="H9" s="98"/>
      <c r="I9" s="100">
        <v>47333722</v>
      </c>
      <c r="J9" s="230"/>
      <c r="K9" s="233">
        <v>99.63</v>
      </c>
      <c r="L9" s="262">
        <f aca="true" t="shared" si="0" ref="L9:L25">(E9*$L$8)/$E$8</f>
        <v>99.5267257345085</v>
      </c>
      <c r="M9" s="152"/>
    </row>
    <row r="10" spans="1:13" ht="23.25" customHeight="1">
      <c r="A10" s="153" t="s">
        <v>34</v>
      </c>
      <c r="E10" s="254">
        <f>E8-E9</f>
        <v>366268</v>
      </c>
      <c r="F10" s="97"/>
      <c r="G10" s="244">
        <v>0.47</v>
      </c>
      <c r="H10" s="98"/>
      <c r="I10" s="254">
        <f>SUM(I8-I9)</f>
        <v>176437</v>
      </c>
      <c r="J10" s="230"/>
      <c r="K10" s="241">
        <f>SUM(K8-K9)</f>
        <v>0.37000000000000455</v>
      </c>
      <c r="L10" s="262">
        <f t="shared" si="0"/>
        <v>0.4732742654915018</v>
      </c>
      <c r="M10" s="152"/>
    </row>
    <row r="11" spans="1:13" ht="23.25" customHeight="1">
      <c r="A11" s="158" t="s">
        <v>916</v>
      </c>
      <c r="B11" s="153" t="s">
        <v>85</v>
      </c>
      <c r="E11" s="100"/>
      <c r="F11" s="97"/>
      <c r="G11" s="232"/>
      <c r="H11" s="98"/>
      <c r="I11" s="100"/>
      <c r="J11" s="230"/>
      <c r="L11" s="262">
        <f t="shared" si="0"/>
        <v>0</v>
      </c>
      <c r="M11" s="152"/>
    </row>
    <row r="12" spans="2:13" ht="23.25" customHeight="1">
      <c r="B12" s="330" t="s">
        <v>671</v>
      </c>
      <c r="C12" s="330"/>
      <c r="D12" s="330"/>
      <c r="E12" s="100">
        <v>65000</v>
      </c>
      <c r="F12" s="97"/>
      <c r="G12" s="285">
        <f>+E12*100/E8</f>
        <v>0.08398993976254442</v>
      </c>
      <c r="H12" s="98"/>
      <c r="I12" s="100">
        <v>65000</v>
      </c>
      <c r="J12" s="230"/>
      <c r="K12" s="233">
        <v>0.14</v>
      </c>
      <c r="L12" s="262">
        <f t="shared" si="0"/>
        <v>0.08398993976254442</v>
      </c>
      <c r="M12" s="152"/>
    </row>
    <row r="13" spans="2:13" ht="23.25" customHeight="1">
      <c r="B13" s="330" t="s">
        <v>867</v>
      </c>
      <c r="C13" s="330"/>
      <c r="D13" s="330"/>
      <c r="E13" s="100">
        <v>219000</v>
      </c>
      <c r="F13" s="97"/>
      <c r="G13" s="285">
        <v>0.28</v>
      </c>
      <c r="H13" s="98"/>
      <c r="I13" s="100">
        <v>109500</v>
      </c>
      <c r="J13" s="230"/>
      <c r="K13" s="233">
        <v>0.23</v>
      </c>
      <c r="L13" s="262">
        <f t="shared" si="0"/>
        <v>0.2829814893538035</v>
      </c>
      <c r="M13" s="152"/>
    </row>
    <row r="14" spans="2:13" ht="23.25" customHeight="1">
      <c r="B14" s="330" t="s">
        <v>843</v>
      </c>
      <c r="C14" s="330"/>
      <c r="D14" s="330"/>
      <c r="E14" s="100">
        <f>283647.7-48411.24</f>
        <v>235236.46000000002</v>
      </c>
      <c r="F14" s="97"/>
      <c r="G14" s="285">
        <v>0.3</v>
      </c>
      <c r="H14" s="98"/>
      <c r="I14" s="100">
        <f>136209.14</f>
        <v>136209.14</v>
      </c>
      <c r="J14" s="230"/>
      <c r="K14" s="233">
        <v>0.28</v>
      </c>
      <c r="L14" s="262">
        <f t="shared" si="0"/>
        <v>0.30396147854391065</v>
      </c>
      <c r="M14" s="152"/>
    </row>
    <row r="15" spans="2:13" ht="23.25" customHeight="1">
      <c r="B15" s="330" t="s">
        <v>844</v>
      </c>
      <c r="C15" s="330"/>
      <c r="D15" s="330"/>
      <c r="E15" s="100">
        <v>5143.9</v>
      </c>
      <c r="F15" s="97"/>
      <c r="G15" s="286">
        <v>0.01</v>
      </c>
      <c r="H15" s="98"/>
      <c r="I15" s="100">
        <v>23617.79</v>
      </c>
      <c r="J15" s="230"/>
      <c r="K15" s="233">
        <v>0.05</v>
      </c>
      <c r="L15" s="262">
        <f t="shared" si="0"/>
        <v>0.006646705402223879</v>
      </c>
      <c r="M15" s="152"/>
    </row>
    <row r="16" spans="4:13" ht="23.25" customHeight="1">
      <c r="D16" s="242" t="s">
        <v>1</v>
      </c>
      <c r="E16" s="254">
        <f>SUM(E12:E15)</f>
        <v>524380.36</v>
      </c>
      <c r="F16" s="97"/>
      <c r="G16" s="240">
        <v>0.67</v>
      </c>
      <c r="H16" s="98"/>
      <c r="I16" s="254">
        <f>SUM(I12:I15)</f>
        <v>334326.93</v>
      </c>
      <c r="J16" s="230"/>
      <c r="K16" s="241">
        <v>0.7</v>
      </c>
      <c r="L16" s="262">
        <f t="shared" si="0"/>
        <v>0.6775796130624824</v>
      </c>
      <c r="M16" s="152"/>
    </row>
    <row r="17" spans="1:13" ht="23.25" customHeight="1">
      <c r="A17" s="158" t="s">
        <v>77</v>
      </c>
      <c r="B17" s="153" t="s">
        <v>76</v>
      </c>
      <c r="E17" s="100"/>
      <c r="F17" s="97"/>
      <c r="G17" s="232"/>
      <c r="H17" s="98"/>
      <c r="I17" s="100"/>
      <c r="J17" s="230"/>
      <c r="L17" s="262">
        <f t="shared" si="0"/>
        <v>0</v>
      </c>
      <c r="M17" s="152"/>
    </row>
    <row r="18" spans="2:13" ht="23.25" customHeight="1">
      <c r="B18" s="330" t="s">
        <v>702</v>
      </c>
      <c r="C18" s="330"/>
      <c r="D18" s="330"/>
      <c r="E18" s="100">
        <f>77073.42+273000</f>
        <v>350073.42</v>
      </c>
      <c r="F18" s="97"/>
      <c r="G18" s="232">
        <v>0.45</v>
      </c>
      <c r="H18" s="98"/>
      <c r="I18" s="100">
        <f>78655.9+273000</f>
        <v>351655.9</v>
      </c>
      <c r="J18" s="230"/>
      <c r="K18" s="243">
        <v>0.74</v>
      </c>
      <c r="L18" s="262">
        <f t="shared" si="0"/>
        <v>0.4523483916656602</v>
      </c>
      <c r="M18" s="152"/>
    </row>
    <row r="19" spans="2:13" ht="23.25" customHeight="1">
      <c r="B19" s="330" t="s">
        <v>703</v>
      </c>
      <c r="C19" s="330"/>
      <c r="D19" s="330"/>
      <c r="E19" s="100">
        <f>กระดาษทำการงบทดลองเครื่อง!Q208</f>
        <v>68714.88</v>
      </c>
      <c r="F19" s="97"/>
      <c r="G19" s="232">
        <f>+E19*100/E8</f>
        <v>0.08879013279985336</v>
      </c>
      <c r="H19" s="98"/>
      <c r="I19" s="100">
        <v>46000</v>
      </c>
      <c r="J19" s="230"/>
      <c r="K19" s="243">
        <v>0.1</v>
      </c>
      <c r="L19" s="262">
        <f t="shared" si="0"/>
        <v>0.08879013279985336</v>
      </c>
      <c r="M19" s="152"/>
    </row>
    <row r="20" spans="2:13" ht="23.25" customHeight="1">
      <c r="B20" s="330" t="s">
        <v>823</v>
      </c>
      <c r="C20" s="330"/>
      <c r="D20" s="330"/>
      <c r="E20" s="100">
        <v>17671.23</v>
      </c>
      <c r="F20" s="97"/>
      <c r="G20" s="232">
        <v>0.02</v>
      </c>
      <c r="H20" s="98"/>
      <c r="I20" s="100">
        <v>0</v>
      </c>
      <c r="J20" s="230"/>
      <c r="K20" s="243">
        <v>0</v>
      </c>
      <c r="L20" s="262">
        <f t="shared" si="0"/>
        <v>0.022833931434308737</v>
      </c>
      <c r="M20" s="152"/>
    </row>
    <row r="21" spans="2:13" ht="23.25" customHeight="1">
      <c r="B21" s="330" t="s">
        <v>845</v>
      </c>
      <c r="C21" s="330"/>
      <c r="D21" s="330"/>
      <c r="E21" s="100">
        <v>2100</v>
      </c>
      <c r="F21" s="97"/>
      <c r="G21" s="232">
        <v>0</v>
      </c>
      <c r="H21" s="98"/>
      <c r="I21" s="100">
        <v>12300</v>
      </c>
      <c r="J21" s="230"/>
      <c r="K21" s="243">
        <v>0</v>
      </c>
      <c r="L21" s="262">
        <f t="shared" si="0"/>
        <v>0.0027135211307898967</v>
      </c>
      <c r="M21" s="152"/>
    </row>
    <row r="22" spans="2:13" ht="23.25" customHeight="1">
      <c r="B22" s="330" t="s">
        <v>846</v>
      </c>
      <c r="C22" s="330"/>
      <c r="D22" s="330"/>
      <c r="E22" s="100">
        <v>0</v>
      </c>
      <c r="F22" s="97"/>
      <c r="G22" s="232">
        <v>0</v>
      </c>
      <c r="H22" s="98"/>
      <c r="I22" s="100">
        <v>580</v>
      </c>
      <c r="J22" s="230"/>
      <c r="K22" s="243">
        <v>0</v>
      </c>
      <c r="L22" s="262">
        <f t="shared" si="0"/>
        <v>0</v>
      </c>
      <c r="M22" s="152"/>
    </row>
    <row r="23" spans="2:13" ht="23.25" customHeight="1">
      <c r="B23" s="330" t="s">
        <v>847</v>
      </c>
      <c r="C23" s="330"/>
      <c r="D23" s="330"/>
      <c r="E23" s="100">
        <v>0</v>
      </c>
      <c r="F23" s="97"/>
      <c r="G23" s="232">
        <v>0</v>
      </c>
      <c r="H23" s="98"/>
      <c r="I23" s="100">
        <v>158340</v>
      </c>
      <c r="J23" s="230"/>
      <c r="K23" s="243">
        <v>0.33</v>
      </c>
      <c r="L23" s="262">
        <f t="shared" si="0"/>
        <v>0</v>
      </c>
      <c r="M23" s="152"/>
    </row>
    <row r="24" spans="2:16" ht="23.25" customHeight="1">
      <c r="B24" s="242"/>
      <c r="C24" s="242"/>
      <c r="D24" s="242" t="s">
        <v>36</v>
      </c>
      <c r="E24" s="288">
        <f>SUM(E18:E23)</f>
        <v>438559.52999999997</v>
      </c>
      <c r="F24" s="97"/>
      <c r="G24" s="287">
        <v>0.56</v>
      </c>
      <c r="H24" s="98"/>
      <c r="I24" s="288">
        <f>SUM(I18:I23)</f>
        <v>568875.9</v>
      </c>
      <c r="J24" s="230"/>
      <c r="K24" s="287">
        <f>SUM(K18:K23)</f>
        <v>1.17</v>
      </c>
      <c r="L24" s="262">
        <f t="shared" si="0"/>
        <v>0.5666859770306122</v>
      </c>
      <c r="M24" s="152"/>
      <c r="P24" s="153">
        <v>0</v>
      </c>
    </row>
    <row r="25" spans="1:13" ht="23.25" customHeight="1" thickBot="1">
      <c r="A25" s="155" t="s">
        <v>859</v>
      </c>
      <c r="D25" s="242"/>
      <c r="E25" s="104">
        <f>E10+E16-E24</f>
        <v>452088.83</v>
      </c>
      <c r="F25" s="101"/>
      <c r="G25" s="246">
        <v>0.58</v>
      </c>
      <c r="H25" s="247"/>
      <c r="I25" s="245">
        <f>I10+I16-I24</f>
        <v>-58111.97000000003</v>
      </c>
      <c r="J25" s="248"/>
      <c r="K25" s="246">
        <f>K10+K16-K24</f>
        <v>-0.09999999999999543</v>
      </c>
      <c r="L25" s="262">
        <f t="shared" si="0"/>
        <v>0.5841679015233721</v>
      </c>
      <c r="M25" s="152"/>
    </row>
    <row r="26" ht="21.75" thickTop="1"/>
  </sheetData>
  <sheetProtection/>
  <mergeCells count="13">
    <mergeCell ref="B15:D15"/>
    <mergeCell ref="A3:K3"/>
    <mergeCell ref="E5:G5"/>
    <mergeCell ref="I5:K5"/>
    <mergeCell ref="B12:D12"/>
    <mergeCell ref="B13:D13"/>
    <mergeCell ref="B14:D14"/>
    <mergeCell ref="B19:D19"/>
    <mergeCell ref="B21:D21"/>
    <mergeCell ref="B22:D22"/>
    <mergeCell ref="B23:D23"/>
    <mergeCell ref="B20:D20"/>
    <mergeCell ref="B18:D1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O20"/>
  <sheetViews>
    <sheetView zoomScaleSheetLayoutView="100" zoomScalePageLayoutView="0" workbookViewId="0" topLeftCell="A6">
      <selection activeCell="E20" sqref="E20"/>
    </sheetView>
  </sheetViews>
  <sheetFormatPr defaultColWidth="9.140625" defaultRowHeight="21.75"/>
  <cols>
    <col min="1" max="1" width="5.57421875" style="153" customWidth="1"/>
    <col min="2" max="2" width="4.7109375" style="153" customWidth="1"/>
    <col min="3" max="3" width="14.421875" style="153" customWidth="1"/>
    <col min="4" max="4" width="20.8515625" style="153" customWidth="1"/>
    <col min="5" max="5" width="14.7109375" style="109" customWidth="1"/>
    <col min="6" max="6" width="2.140625" style="70" customWidth="1"/>
    <col min="7" max="7" width="7.57421875" style="232" customWidth="1"/>
    <col min="8" max="8" width="3.421875" style="70" customWidth="1"/>
    <col min="9" max="9" width="14.7109375" style="109" customWidth="1"/>
    <col min="10" max="10" width="1.57421875" style="153" customWidth="1"/>
    <col min="11" max="11" width="8.00390625" style="233" customWidth="1"/>
    <col min="12" max="12" width="12.7109375" style="262" customWidth="1"/>
    <col min="13" max="15" width="16.57421875" style="153" customWidth="1"/>
    <col min="16" max="16384" width="9.140625" style="153" customWidth="1"/>
  </cols>
  <sheetData>
    <row r="1" spans="5:13" ht="21">
      <c r="E1" s="119"/>
      <c r="G1" s="161"/>
      <c r="H1" s="229"/>
      <c r="I1" s="229"/>
      <c r="J1" s="229"/>
      <c r="K1" s="278" t="s">
        <v>340</v>
      </c>
      <c r="M1" s="152"/>
    </row>
    <row r="2" spans="5:13" ht="12" customHeight="1">
      <c r="E2" s="119"/>
      <c r="M2" s="152"/>
    </row>
    <row r="3" spans="1:13" ht="23.25" customHeight="1">
      <c r="A3" s="328" t="s">
        <v>362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M3" s="152"/>
    </row>
    <row r="4" spans="1:13" ht="12" customHeight="1">
      <c r="A4" s="200"/>
      <c r="B4" s="200"/>
      <c r="C4" s="200"/>
      <c r="D4" s="200"/>
      <c r="E4" s="110"/>
      <c r="F4" s="80"/>
      <c r="G4" s="110"/>
      <c r="H4" s="80"/>
      <c r="I4" s="110"/>
      <c r="J4" s="200"/>
      <c r="K4" s="154"/>
      <c r="M4" s="152"/>
    </row>
    <row r="5" spans="5:13" ht="23.25" customHeight="1">
      <c r="E5" s="329" t="s">
        <v>730</v>
      </c>
      <c r="F5" s="329"/>
      <c r="G5" s="329"/>
      <c r="H5" s="81"/>
      <c r="I5" s="327" t="s">
        <v>444</v>
      </c>
      <c r="J5" s="327"/>
      <c r="K5" s="327"/>
      <c r="M5" s="152"/>
    </row>
    <row r="6" spans="5:15" ht="23.25" customHeight="1">
      <c r="E6" s="234" t="s">
        <v>9</v>
      </c>
      <c r="G6" s="110" t="s">
        <v>32</v>
      </c>
      <c r="H6" s="81"/>
      <c r="I6" s="234" t="s">
        <v>9</v>
      </c>
      <c r="K6" s="154" t="s">
        <v>32</v>
      </c>
      <c r="M6" s="71"/>
      <c r="N6" s="96"/>
      <c r="O6" s="96"/>
    </row>
    <row r="7" spans="1:15" ht="23.25" customHeight="1">
      <c r="A7" s="153" t="s">
        <v>363</v>
      </c>
      <c r="E7" s="100">
        <f>กระดาษทำการงบทดลองเครื่อง!R156</f>
        <v>398750.55</v>
      </c>
      <c r="F7" s="97"/>
      <c r="G7" s="232">
        <v>99.36</v>
      </c>
      <c r="H7" s="98"/>
      <c r="I7" s="100">
        <v>667654.71</v>
      </c>
      <c r="J7" s="230"/>
      <c r="K7" s="232">
        <v>98.24</v>
      </c>
      <c r="L7" s="262">
        <f>(E7*$L$9)/$E$9</f>
        <v>99.36421195828638</v>
      </c>
      <c r="M7" s="71"/>
      <c r="N7" s="128">
        <f>SUM(E7:E8)</f>
        <v>401301.98</v>
      </c>
      <c r="O7" s="96"/>
    </row>
    <row r="8" spans="1:15" ht="23.25" customHeight="1">
      <c r="A8" s="153" t="s">
        <v>281</v>
      </c>
      <c r="E8" s="253">
        <f>กระดาษทำการงบทดลองเครื่อง!R157</f>
        <v>2551.43</v>
      </c>
      <c r="F8" s="97"/>
      <c r="G8" s="235">
        <v>0.64</v>
      </c>
      <c r="H8" s="98"/>
      <c r="I8" s="253">
        <v>11939.25</v>
      </c>
      <c r="J8" s="230"/>
      <c r="K8" s="232">
        <v>1.76</v>
      </c>
      <c r="L8" s="262">
        <f>(E8*$L$9)/$E$9</f>
        <v>0.6357880417136242</v>
      </c>
      <c r="M8" s="71"/>
      <c r="N8" s="236" t="e">
        <f>#REF!</f>
        <v>#REF!</v>
      </c>
      <c r="O8" s="236" t="e">
        <f>N7-N8</f>
        <v>#REF!</v>
      </c>
    </row>
    <row r="9" spans="3:13" ht="23.25" customHeight="1">
      <c r="C9" s="153" t="s">
        <v>107</v>
      </c>
      <c r="E9" s="100">
        <f>SUM(E7:E8)</f>
        <v>401301.98</v>
      </c>
      <c r="F9" s="97"/>
      <c r="G9" s="237">
        <v>100</v>
      </c>
      <c r="H9" s="98"/>
      <c r="I9" s="100">
        <f>SUM(I7:I8)</f>
        <v>679593.96</v>
      </c>
      <c r="J9" s="230"/>
      <c r="K9" s="238">
        <v>100</v>
      </c>
      <c r="L9" s="262">
        <v>100</v>
      </c>
      <c r="M9" s="152"/>
    </row>
    <row r="10" spans="1:13" ht="23.25" customHeight="1">
      <c r="A10" s="158" t="s">
        <v>915</v>
      </c>
      <c r="E10" s="100">
        <f>'ต้นทุน 1'!F56</f>
        <v>475369.55999999994</v>
      </c>
      <c r="F10" s="97"/>
      <c r="G10" s="239" t="s">
        <v>864</v>
      </c>
      <c r="H10" s="98"/>
      <c r="I10" s="100">
        <f>597347.55+37.7</f>
        <v>597385.25</v>
      </c>
      <c r="J10" s="230"/>
      <c r="K10" s="233">
        <v>87.9</v>
      </c>
      <c r="L10" s="262">
        <f aca="true" t="shared" si="0" ref="L10:L20">(E10*$L$9)/$E$9</f>
        <v>118.45681897707057</v>
      </c>
      <c r="M10" s="152"/>
    </row>
    <row r="11" spans="1:13" ht="23.25" customHeight="1">
      <c r="A11" s="153" t="s">
        <v>868</v>
      </c>
      <c r="E11" s="315">
        <f>E9-E10</f>
        <v>-74067.57999999996</v>
      </c>
      <c r="F11" s="97"/>
      <c r="G11" s="240">
        <f>G9-G10</f>
        <v>-18.459999999999994</v>
      </c>
      <c r="H11" s="98"/>
      <c r="I11" s="254">
        <f>SUM(I9-I10)</f>
        <v>82208.70999999996</v>
      </c>
      <c r="J11" s="230"/>
      <c r="K11" s="241">
        <f>SUM(K9-K10)</f>
        <v>12.099999999999994</v>
      </c>
      <c r="L11" s="262">
        <f t="shared" si="0"/>
        <v>-18.456818977070576</v>
      </c>
      <c r="M11" s="152"/>
    </row>
    <row r="12" spans="1:13" ht="23.25" customHeight="1">
      <c r="A12" s="158" t="s">
        <v>916</v>
      </c>
      <c r="B12" s="153" t="s">
        <v>85</v>
      </c>
      <c r="E12" s="100"/>
      <c r="F12" s="97"/>
      <c r="H12" s="98"/>
      <c r="I12" s="100"/>
      <c r="J12" s="230"/>
      <c r="L12" s="262">
        <f t="shared" si="0"/>
        <v>0</v>
      </c>
      <c r="M12" s="152"/>
    </row>
    <row r="13" spans="2:13" ht="23.25" customHeight="1">
      <c r="B13" s="330" t="s">
        <v>393</v>
      </c>
      <c r="C13" s="330"/>
      <c r="D13" s="330"/>
      <c r="E13" s="100">
        <v>50000</v>
      </c>
      <c r="F13" s="97"/>
      <c r="G13" s="232">
        <v>12.46</v>
      </c>
      <c r="H13" s="98"/>
      <c r="I13" s="100">
        <v>50000</v>
      </c>
      <c r="J13" s="230"/>
      <c r="K13" s="233">
        <v>7.36</v>
      </c>
      <c r="L13" s="262">
        <f t="shared" si="0"/>
        <v>12.45944512907711</v>
      </c>
      <c r="M13" s="152"/>
    </row>
    <row r="14" spans="3:13" ht="23.25" customHeight="1">
      <c r="C14" s="242" t="s">
        <v>1</v>
      </c>
      <c r="E14" s="254">
        <f>SUM(E13:E13)</f>
        <v>50000</v>
      </c>
      <c r="F14" s="97"/>
      <c r="G14" s="240">
        <f>SUM(G13:G13)</f>
        <v>12.46</v>
      </c>
      <c r="H14" s="98"/>
      <c r="I14" s="254">
        <f>SUM(I13:I13)</f>
        <v>50000</v>
      </c>
      <c r="J14" s="230"/>
      <c r="K14" s="241">
        <f>SUM(K13:K13)</f>
        <v>7.36</v>
      </c>
      <c r="L14" s="262">
        <f t="shared" si="0"/>
        <v>12.45944512907711</v>
      </c>
      <c r="M14" s="152"/>
    </row>
    <row r="15" spans="1:13" ht="23.25" customHeight="1">
      <c r="A15" s="158" t="s">
        <v>77</v>
      </c>
      <c r="B15" s="153" t="s">
        <v>76</v>
      </c>
      <c r="E15" s="100"/>
      <c r="F15" s="97"/>
      <c r="H15" s="98"/>
      <c r="I15" s="100"/>
      <c r="J15" s="230"/>
      <c r="L15" s="262">
        <f t="shared" si="0"/>
        <v>0</v>
      </c>
      <c r="M15" s="152"/>
    </row>
    <row r="16" spans="1:13" ht="23.25" customHeight="1">
      <c r="A16" s="158"/>
      <c r="B16" s="330" t="s">
        <v>855</v>
      </c>
      <c r="C16" s="330"/>
      <c r="D16" s="330"/>
      <c r="E16" s="100">
        <v>109061.22</v>
      </c>
      <c r="F16" s="97"/>
      <c r="G16" s="232">
        <v>27.17</v>
      </c>
      <c r="H16" s="98"/>
      <c r="I16" s="100">
        <v>0</v>
      </c>
      <c r="J16" s="230"/>
      <c r="K16" s="233">
        <v>0</v>
      </c>
      <c r="L16" s="262">
        <f t="shared" si="0"/>
        <v>27.176845726004146</v>
      </c>
      <c r="M16" s="152"/>
    </row>
    <row r="17" spans="1:13" ht="23.25" customHeight="1">
      <c r="A17" s="158"/>
      <c r="B17" s="330" t="s">
        <v>856</v>
      </c>
      <c r="C17" s="330"/>
      <c r="D17" s="330"/>
      <c r="E17" s="100">
        <v>43285</v>
      </c>
      <c r="F17" s="97"/>
      <c r="G17" s="232">
        <v>10.79</v>
      </c>
      <c r="H17" s="98"/>
      <c r="I17" s="100">
        <v>0</v>
      </c>
      <c r="J17" s="230"/>
      <c r="K17" s="233">
        <v>0</v>
      </c>
      <c r="L17" s="262">
        <f t="shared" si="0"/>
        <v>10.786141648242054</v>
      </c>
      <c r="M17" s="152"/>
    </row>
    <row r="18" spans="2:13" ht="23.25" customHeight="1">
      <c r="B18" s="330" t="s">
        <v>394</v>
      </c>
      <c r="C18" s="330"/>
      <c r="D18" s="330"/>
      <c r="E18" s="100">
        <v>58632.76</v>
      </c>
      <c r="F18" s="97"/>
      <c r="G18" s="232">
        <v>14.61</v>
      </c>
      <c r="H18" s="98"/>
      <c r="I18" s="100">
        <v>94084</v>
      </c>
      <c r="J18" s="230"/>
      <c r="K18" s="243">
        <v>13.84</v>
      </c>
      <c r="L18" s="262">
        <f t="shared" si="0"/>
        <v>14.610633119726945</v>
      </c>
      <c r="M18" s="152"/>
    </row>
    <row r="19" spans="2:13" ht="23.25" customHeight="1">
      <c r="B19" s="242"/>
      <c r="C19" s="242" t="s">
        <v>36</v>
      </c>
      <c r="E19" s="288">
        <f>SUM(E16:E18)</f>
        <v>210978.98</v>
      </c>
      <c r="F19" s="97"/>
      <c r="G19" s="287">
        <v>52.57</v>
      </c>
      <c r="H19" s="98"/>
      <c r="I19" s="288">
        <f>SUM(I18:I18)</f>
        <v>94084</v>
      </c>
      <c r="J19" s="230"/>
      <c r="K19" s="287">
        <f>SUM(K18:K18)</f>
        <v>13.84</v>
      </c>
      <c r="L19" s="262">
        <f t="shared" si="0"/>
        <v>52.573620493973145</v>
      </c>
      <c r="M19" s="152"/>
    </row>
    <row r="20" spans="1:13" ht="23.25" customHeight="1" thickBot="1">
      <c r="A20" s="155" t="s">
        <v>859</v>
      </c>
      <c r="D20" s="242"/>
      <c r="E20" s="245">
        <f>E11+E14-E19</f>
        <v>-235046.55999999997</v>
      </c>
      <c r="F20" s="101"/>
      <c r="G20" s="245">
        <v>-58.57</v>
      </c>
      <c r="H20" s="247"/>
      <c r="I20" s="104">
        <f>I11+I14-I19</f>
        <v>38124.70999999996</v>
      </c>
      <c r="J20" s="248"/>
      <c r="K20" s="246">
        <v>5.61</v>
      </c>
      <c r="L20" s="262">
        <f t="shared" si="0"/>
        <v>-58.57099434196661</v>
      </c>
      <c r="M20" s="152"/>
    </row>
    <row r="21" ht="21.75" thickTop="1"/>
  </sheetData>
  <sheetProtection/>
  <mergeCells count="7">
    <mergeCell ref="B13:D13"/>
    <mergeCell ref="B18:D18"/>
    <mergeCell ref="A3:K3"/>
    <mergeCell ref="E5:G5"/>
    <mergeCell ref="I5:K5"/>
    <mergeCell ref="B17:D17"/>
    <mergeCell ref="B16:D16"/>
  </mergeCells>
  <printOptions/>
  <pageMargins left="0.6692913385826772" right="0.35433070866141736" top="0.7874015748031497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W7U64</cp:lastModifiedBy>
  <cp:lastPrinted>2019-07-23T07:14:59Z</cp:lastPrinted>
  <dcterms:created xsi:type="dcterms:W3CDTF">2000-06-12T07:15:46Z</dcterms:created>
  <dcterms:modified xsi:type="dcterms:W3CDTF">2019-07-25T09:06:47Z</dcterms:modified>
  <cp:category/>
  <cp:version/>
  <cp:contentType/>
  <cp:contentStatus/>
</cp:coreProperties>
</file>